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w to use" sheetId="1" r:id="rId1"/>
    <sheet name="Building" sheetId="2" r:id="rId2"/>
    <sheet name="Expenses" sheetId="3" r:id="rId3"/>
    <sheet name="Tenants" sheetId="4" r:id="rId4"/>
    <sheet name="Exclusions" sheetId="5" r:id="rId5"/>
    <sheet name="Reconciliation" sheetId="6" r:id="rId6"/>
    <sheet name="Statement" sheetId="7" r:id="rId7"/>
  </sheets>
</workbook>
</file>

<file path=xl/sharedStrings.xml><?xml version="1.0" encoding="utf-8"?>
<sst xmlns="http://schemas.openxmlformats.org/spreadsheetml/2006/main" count="117" uniqueCount="117">
  <si>
    <t xml:space="preserve">CAM reconciliation workbook</t>
  </si>
  <si>
    <t xml:space="preserve">Free from Cornerhold. It opens on a worked example: a 20,000 SF strip center, calendar year 2025, two tenants.</t>
  </si>
  <si>
    <t xml:space="preserve">1. Building: the property, the period, the building's area and the gross-up target.</t>
  </si>
  <si>
    <t xml:space="preserve">2. Expenses: one row per expense. Pool is CAM, Tax or Insurance. Treatment is Recover, Not recoverable, Paid by tenant, Capital excluded or Capital amortized. Controllable and Varies are Yes or No.</t>
  </si>
  <si>
    <t xml:space="preserve">3. Tenants: one row per tenant with its area, dates, share, cap, admin fee, base year and the estimates it paid.</t>
  </si>
  <si>
    <t xml:space="preserve">4. Exclusions: put an X where an expense's row meets a tenant's column to leave that expense out of that tenant's lease.</t>
  </si>
  <si>
    <t xml:space="preserve">5. Reconciliation works out each tenant's balance. Statement fills in a letter for the tenant row you choose.</t>
  </si>
  <si>
    <t xml:space="preserve">Columns marked (formula) work themselves out. Type only in the others.</t>
  </si>
  <si>
    <t xml:space="preserve">Every amount is rounded to the cent, half up. Caps apply to controllable CAM; a cap's ceiling is prorated for a partial year.</t>
  </si>
  <si>
    <t xml:space="preserve">The order: gross-up, share, cap, base year, admin fee. If a lease orders them differently, follow the lease.</t>
  </si>
  <si>
    <t xml:space="preserve">An expense stop works as a base year: enter the stop times the building's area as the base year amount.</t>
  </si>
  <si>
    <t xml:space="preserve">One gross-up target for the building. For a lease with its own target, use the web calculator.</t>
  </si>
  <si>
    <t xml:space="preserve">The same math runs in your browser at https://cornerhold.com/resources/cam-reconciliation-calculator</t>
  </si>
  <si>
    <t xml:space="preserve">General information to help you check the math, not legal, tax or accounting advice. Your lease controls.</t>
  </si>
  <si>
    <t xml:space="preserve">The buildings, businesses and figures in the example are made up.</t>
  </si>
  <si>
    <t xml:space="preserve">Building and period</t>
  </si>
  <si>
    <t xml:space="preserve">Property</t>
  </si>
  <si>
    <t xml:space="preserve">Wrenfield Commons</t>
  </si>
  <si>
    <t xml:space="preserve">Period starts</t>
  </si>
  <si>
    <t xml:space="preserve">Period ends</t>
  </si>
  <si>
    <t xml:space="preserve">Days in the period (formula)</t>
  </si>
  <si>
    <t xml:space="preserve">Building area (SF)</t>
  </si>
  <si>
    <t xml:space="preserve">Other occupied area, all period (SF)</t>
  </si>
  <si>
    <t xml:space="preserve">Average occupancy (%), leave blank to figure it from the tenants</t>
  </si>
  <si>
    <t xml:space="preserve">Average occupancy (formula)</t>
  </si>
  <si>
    <t xml:space="preserve">Gross-up target (%), blank for none</t>
  </si>
  <si>
    <t xml:space="preserve">Gross-up factor (formula)</t>
  </si>
  <si>
    <t xml:space="preserve">Months in the period (formula)</t>
  </si>
  <si>
    <t xml:space="preserve">Expense</t>
  </si>
  <si>
    <t xml:space="preserve">Pool (CAM, Tax or Insurance)</t>
  </si>
  <si>
    <t xml:space="preserve">Amount</t>
  </si>
  <si>
    <t xml:space="preserve">Reimbursed</t>
  </si>
  <si>
    <t xml:space="preserve">Treatment</t>
  </si>
  <si>
    <t xml:space="preserve">Amortize over (months)</t>
  </si>
  <si>
    <t xml:space="preserve">Interest rate (%)</t>
  </si>
  <si>
    <t xml:space="preserve">Controllable (Yes or No)</t>
  </si>
  <si>
    <t xml:space="preserve">Varies with occupancy (Yes or No)</t>
  </si>
  <si>
    <t xml:space="preserve">Recoverable (formula)</t>
  </si>
  <si>
    <t xml:space="preserve">Grossed up (formula)</t>
  </si>
  <si>
    <t xml:space="preserve">Landscaping</t>
  </si>
  <si>
    <t xml:space="preserve">CAM</t>
  </si>
  <si>
    <t xml:space="preserve">Recover</t>
  </si>
  <si>
    <t xml:space="preserve">Yes</t>
  </si>
  <si>
    <t xml:space="preserve">No</t>
  </si>
  <si>
    <t xml:space="preserve">Parking lot sweeping</t>
  </si>
  <si>
    <t xml:space="preserve">Repairs and maintenance</t>
  </si>
  <si>
    <t xml:space="preserve">Trash removal</t>
  </si>
  <si>
    <t xml:space="preserve">Common area water</t>
  </si>
  <si>
    <t xml:space="preserve">Property tax</t>
  </si>
  <si>
    <t xml:space="preserve">Tax</t>
  </si>
  <si>
    <t xml:space="preserve">Property insurance</t>
  </si>
  <si>
    <t xml:space="preserve">Insurance</t>
  </si>
  <si>
    <t xml:space="preserve">Roof replacement</t>
  </si>
  <si>
    <t xml:space="preserve">Capital excluded</t>
  </si>
  <si>
    <t xml:space="preserve">Tenant</t>
  </si>
  <si>
    <t xml:space="preserve">Area (SF)</t>
  </si>
  <si>
    <t xml:space="preserve">Share basis (Building, Other area or Fixed)</t>
  </si>
  <si>
    <t xml:space="preserve">Other area (SF)</t>
  </si>
  <si>
    <t xml:space="preserve">Fixed share (%)</t>
  </si>
  <si>
    <t xml:space="preserve">Moved in (blank: before the period)</t>
  </si>
  <si>
    <t xml:space="preserve">Moved out (blank: after the period)</t>
  </si>
  <si>
    <t xml:space="preserve">Estimates paid</t>
  </si>
  <si>
    <t xml:space="preserve">Days occupied (formula)</t>
  </si>
  <si>
    <t xml:space="preserve">Share (formula)</t>
  </si>
  <si>
    <t xml:space="preserve">Part of the period (formula)</t>
  </si>
  <si>
    <t xml:space="preserve">Cap (None, Non-cumulative billed, Non-cumulative actual, Cumulative compounding, Cumulative simple)</t>
  </si>
  <si>
    <t xml:space="preserve">Cap rate (%)</t>
  </si>
  <si>
    <t xml:space="preserve">Last year's controllables, for a non-cumulative cap</t>
  </si>
  <si>
    <t xml:space="preserve">First year's controllables, for a cumulative cap</t>
  </si>
  <si>
    <t xml:space="preserve">Lease year, for a cumulative cap</t>
  </si>
  <si>
    <t xml:space="preserve">Admin fee (%)</t>
  </si>
  <si>
    <t xml:space="preserve">Fee on (CAM, CAM before cap, Controllable or All)</t>
  </si>
  <si>
    <t xml:space="preserve">Base year CAM (building total)</t>
  </si>
  <si>
    <t xml:space="preserve">Base year tax (building total)</t>
  </si>
  <si>
    <t xml:space="preserve">Base year insurance (building total)</t>
  </si>
  <si>
    <t xml:space="preserve">Tenant A</t>
  </si>
  <si>
    <t xml:space="preserve">Building</t>
  </si>
  <si>
    <t xml:space="preserve">Non-cumulative billed</t>
  </si>
  <si>
    <t xml:space="preserve">Tenant B</t>
  </si>
  <si>
    <t xml:space="preserve">None</t>
  </si>
  <si>
    <t xml:space="preserve">Expense (formula); put an X under a tenant to leave the expense out of its lease</t>
  </si>
  <si>
    <t xml:space="preserve">Tenant (formula)</t>
  </si>
  <si>
    <t xml:space="preserve">Controllable CAM (formula)</t>
  </si>
  <si>
    <t xml:space="preserve">Other CAM (formula)</t>
  </si>
  <si>
    <t xml:space="preserve">Tax (formula)</t>
  </si>
  <si>
    <t xml:space="preserve">Insurance (formula)</t>
  </si>
  <si>
    <t xml:space="preserve">Cap ceiling (formula)</t>
  </si>
  <si>
    <t xml:space="preserve">Controllable after the cap (formula)</t>
  </si>
  <si>
    <t xml:space="preserve">Cap savings (formula)</t>
  </si>
  <si>
    <t xml:space="preserve">Base year CAM taken off (formula)</t>
  </si>
  <si>
    <t xml:space="preserve">CAM billed (formula)</t>
  </si>
  <si>
    <t xml:space="preserve">Tax billed (formula)</t>
  </si>
  <si>
    <t xml:space="preserve">Insurance billed (formula)</t>
  </si>
  <si>
    <t xml:space="preserve">Admin fee (formula)</t>
  </si>
  <si>
    <t xml:space="preserve">Total (formula)</t>
  </si>
  <si>
    <t xml:space="preserve">Estimates paid (formula)</t>
  </si>
  <si>
    <t xml:space="preserve">Balance, negative is a credit (formula)</t>
  </si>
  <si>
    <t xml:space="preserve">Totals</t>
  </si>
  <si>
    <t xml:space="preserve">Recoverable costs (formula)</t>
  </si>
  <si>
    <t xml:space="preserve">Billed to tenants before admin fees (formula)</t>
  </si>
  <si>
    <t xml:space="preserve">Not recovered: vacancy, caps, base years, exclusions, rounding (formula)</t>
  </si>
  <si>
    <t xml:space="preserve">Statement letter: type the tenant's row number (1 is the first tenant) and print this sheet</t>
  </si>
  <si>
    <t xml:space="preserve">Tenant row</t>
  </si>
  <si>
    <t xml:space="preserve">From</t>
  </si>
  <si>
    <t xml:space="preserve">Wrenfield Commons Management</t>
  </si>
  <si>
    <t xml:space="preserve">Letter date</t>
  </si>
  <si>
    <t xml:space="preserve">Balance due by</t>
  </si>
  <si>
    <t xml:space="preserve">Controllable CAM</t>
  </si>
  <si>
    <t xml:space="preserve">Less the cap</t>
  </si>
  <si>
    <t xml:space="preserve">Other CAM</t>
  </si>
  <si>
    <t xml:space="preserve">Less the base year (CAM)</t>
  </si>
  <si>
    <t xml:space="preserve">Real estate taxes</t>
  </si>
  <si>
    <t xml:space="preserve">Admin fee</t>
  </si>
  <si>
    <t xml:space="preserve">Total for the period</t>
  </si>
  <si>
    <t xml:space="preserve">Less estimates you paid</t>
  </si>
  <si>
    <t xml:space="preserve">Balance (a negative number is a credit)</t>
  </si>
  <si>
    <t xml:space="preserve">The Reconciliation and Expenses sheets list each expense and your share of it. If you have a question about any line, please write to us.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</si>
</sst>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7">
      <c r="A7" t="s">
        <v>5</v>
      </c>
    </row>
    <row r="8">
      <c r="A8" t="s">
        <v>6</v>
      </c>
    </row>
    <row r="9"/>
    <row r="10">
      <c r="A10" t="s">
        <v>7</v>
      </c>
    </row>
    <row r="11">
      <c r="A11" t="s">
        <v>8</v>
      </c>
    </row>
    <row r="12">
      <c r="A12" t="s">
        <v>9</v>
      </c>
    </row>
    <row r="13">
      <c r="A13" t="s">
        <v>10</v>
      </c>
    </row>
    <row r="14">
      <c r="A14" t="s">
        <v>11</v>
      </c>
    </row>
    <row r="15">
      <c r="A15" t="s">
        <v>12</v>
      </c>
    </row>
    <row r="16"/>
    <row r="17">
      <c r="A17" t="s">
        <v>13</v>
      </c>
    </row>
    <row r="18">
      <c r="A18" t="s">
        <v>14</v>
      </c>
    </row>
  </sheetData>
</worksheet>
</file>

<file path=xl/worksheets/sheet2.xml><?xml version="1.0" encoding="utf-8"?>
<worksheet xmlns="http://schemas.openxmlformats.org/spreadsheetml/2006/main">
  <sheetData>
    <row r="1">
      <c r="A1" t="s">
        <v>15</v>
      </c>
    </row>
    <row r="2"/>
    <row r="3">
      <c r="A3" t="s">
        <v>16</v>
      </c>
      <c r="B3" t="s">
        <v>17</v>
      </c>
    </row>
    <row r="4">
      <c r="A4" t="s">
        <v>18</v>
      </c>
      <c r="B4" s="1">
        <v>45658</v>
      </c>
    </row>
    <row r="5">
      <c r="A5" t="s">
        <v>19</v>
      </c>
      <c r="B5" s="1">
        <v>46022</v>
      </c>
    </row>
    <row r="6">
      <c r="A6" t="s">
        <v>20</v>
      </c>
      <c r="B6">
        <f>B5-B4+1</f>
        <v>365</v>
      </c>
    </row>
    <row r="7">
      <c r="A7" t="s">
        <v>21</v>
      </c>
      <c r="B7">
        <v>20000</v>
      </c>
    </row>
    <row r="8">
      <c r="A8" t="s">
        <v>22</v>
      </c>
      <c r="B8">
        <v>0</v>
      </c>
    </row>
    <row r="9">
      <c r="A9" t="s">
        <v>23</v>
      </c>
    </row>
    <row r="10">
      <c r="A10" t="s">
        <v>24</v>
      </c>
      <c r="B10">
        <f>IF(B9&lt;&gt;"",B9/100,(SUMPRODUCT(Tenants!B2:B21,Tenants!I2:I21)+B8*B6)/(B7*B6))</f>
        <v>0.726027397260274</v>
      </c>
    </row>
    <row r="11">
      <c r="A11" t="s">
        <v>25</v>
      </c>
      <c r="B11">
        <v>95</v>
      </c>
    </row>
    <row r="12">
      <c r="A12" t="s">
        <v>26</v>
      </c>
      <c r="B12">
        <f>IF(AND(B11&lt;&gt;"",B10&gt;0,B10&lt;B11/100),(B11/100)/B10,1)</f>
        <v>1.308490566037736</v>
      </c>
    </row>
    <row r="13">
      <c r="A13" t="s">
        <v>27</v>
      </c>
      <c r="B13">
        <f>ROUND(B6*12/365.25,0)</f>
        <v>12</v>
      </c>
    </row>
  </sheetData>
</worksheet>
</file>

<file path=xl/worksheets/sheet3.xml><?xml version="1.0" encoding="utf-8"?>
<worksheet xmlns="http://schemas.openxmlformats.org/spreadsheetml/2006/main">
  <sheetData>
    <row r="1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</row>
    <row r="2">
      <c r="A2" t="s">
        <v>39</v>
      </c>
      <c r="B2" t="s">
        <v>40</v>
      </c>
      <c r="C2">
        <v>12000</v>
      </c>
      <c r="E2" t="s">
        <v>41</v>
      </c>
      <c r="H2" t="s">
        <v>42</v>
      </c>
      <c r="I2" t="s">
        <v>43</v>
      </c>
      <c r="J2">
        <f>IF(A2="","",IF(E2="Recover",MAX(0,C2-SUM(D2)),IF(E2="Capital amortized",IF(SUM(F2)&gt;0,ROUND(IF(SUM(G2)=0,(C2-SUM(D2))/F2,(C2-SUM(D2))*(G2/1200)/(1-(1+G2/1200)^(-F2)))*MIN(Building!$B$13,F2),2),0),0)))</f>
        <v>12000</v>
      </c>
      <c r="K2">
        <f>IF(J2="","",IF(I2="Yes",ROUND(J2*Building!$B$12,2),J2))</f>
        <v>12000</v>
      </c>
    </row>
    <row r="3">
      <c r="A3" t="s">
        <v>44</v>
      </c>
      <c r="B3" t="s">
        <v>40</v>
      </c>
      <c r="C3">
        <v>6000</v>
      </c>
      <c r="E3" t="s">
        <v>41</v>
      </c>
      <c r="H3" t="s">
        <v>42</v>
      </c>
      <c r="I3" t="s">
        <v>43</v>
      </c>
      <c r="J3">
        <f>IF(A3="","",IF(E3="Recover",MAX(0,C3-SUM(D3)),IF(E3="Capital amortized",IF(SUM(F3)&gt;0,ROUND(IF(SUM(G3)=0,(C3-SUM(D3))/F3,(C3-SUM(D3))*(G3/1200)/(1-(1+G3/1200)^(-F3)))*MIN(Building!$B$13,F3),2),0),0)))</f>
        <v>6000</v>
      </c>
      <c r="K3">
        <f>IF(J3="","",IF(I3="Yes",ROUND(J3*Building!$B$12,2),J3))</f>
        <v>6000</v>
      </c>
    </row>
    <row r="4">
      <c r="A4" t="s">
        <v>45</v>
      </c>
      <c r="B4" t="s">
        <v>40</v>
      </c>
      <c r="C4">
        <v>10000</v>
      </c>
      <c r="E4" t="s">
        <v>41</v>
      </c>
      <c r="H4" t="s">
        <v>42</v>
      </c>
      <c r="I4" t="s">
        <v>43</v>
      </c>
      <c r="J4">
        <f>IF(A4="","",IF(E4="Recover",MAX(0,C4-SUM(D4)),IF(E4="Capital amortized",IF(SUM(F4)&gt;0,ROUND(IF(SUM(G4)=0,(C4-SUM(D4))/F4,(C4-SUM(D4))*(G4/1200)/(1-(1+G4/1200)^(-F4)))*MIN(Building!$B$13,F4),2),0),0)))</f>
        <v>10000</v>
      </c>
      <c r="K4">
        <f>IF(J4="","",IF(I4="Yes",ROUND(J4*Building!$B$12,2),J4))</f>
        <v>10000</v>
      </c>
    </row>
    <row r="5">
      <c r="A5" t="s">
        <v>46</v>
      </c>
      <c r="B5" t="s">
        <v>40</v>
      </c>
      <c r="C5">
        <v>8000</v>
      </c>
      <c r="E5" t="s">
        <v>41</v>
      </c>
      <c r="H5" t="s">
        <v>42</v>
      </c>
      <c r="I5" t="s">
        <v>42</v>
      </c>
      <c r="J5">
        <f>IF(A5="","",IF(E5="Recover",MAX(0,C5-SUM(D5)),IF(E5="Capital amortized",IF(SUM(F5)&gt;0,ROUND(IF(SUM(G5)=0,(C5-SUM(D5))/F5,(C5-SUM(D5))*(G5/1200)/(1-(1+G5/1200)^(-F5)))*MIN(Building!$B$13,F5),2),0),0)))</f>
        <v>8000</v>
      </c>
      <c r="K5">
        <f>IF(J5="","",IF(I5="Yes",ROUND(J5*Building!$B$12,2),J5))</f>
        <v>10467.92</v>
      </c>
    </row>
    <row r="6">
      <c r="A6" t="s">
        <v>47</v>
      </c>
      <c r="B6" t="s">
        <v>40</v>
      </c>
      <c r="C6">
        <v>4000</v>
      </c>
      <c r="E6" t="s">
        <v>41</v>
      </c>
      <c r="H6" t="s">
        <v>43</v>
      </c>
      <c r="I6" t="s">
        <v>42</v>
      </c>
      <c r="J6">
        <f>IF(A6="","",IF(E6="Recover",MAX(0,C6-SUM(D6)),IF(E6="Capital amortized",IF(SUM(F6)&gt;0,ROUND(IF(SUM(G6)=0,(C6-SUM(D6))/F6,(C6-SUM(D6))*(G6/1200)/(1-(1+G6/1200)^(-F6)))*MIN(Building!$B$13,F6),2),0),0)))</f>
        <v>4000</v>
      </c>
      <c r="K6">
        <f>IF(J6="","",IF(I6="Yes",ROUND(J6*Building!$B$12,2),J6))</f>
        <v>5233.96</v>
      </c>
    </row>
    <row r="7">
      <c r="A7" t="s">
        <v>48</v>
      </c>
      <c r="B7" t="s">
        <v>49</v>
      </c>
      <c r="C7">
        <v>40000</v>
      </c>
      <c r="E7" t="s">
        <v>41</v>
      </c>
      <c r="H7" t="s">
        <v>43</v>
      </c>
      <c r="I7" t="s">
        <v>43</v>
      </c>
      <c r="J7">
        <f>IF(A7="","",IF(E7="Recover",MAX(0,C7-SUM(D7)),IF(E7="Capital amortized",IF(SUM(F7)&gt;0,ROUND(IF(SUM(G7)=0,(C7-SUM(D7))/F7,(C7-SUM(D7))*(G7/1200)/(1-(1+G7/1200)^(-F7)))*MIN(Building!$B$13,F7),2),0),0)))</f>
        <v>40000</v>
      </c>
      <c r="K7">
        <f>IF(J7="","",IF(I7="Yes",ROUND(J7*Building!$B$12,2),J7))</f>
        <v>40000</v>
      </c>
    </row>
    <row r="8">
      <c r="A8" t="s">
        <v>50</v>
      </c>
      <c r="B8" t="s">
        <v>51</v>
      </c>
      <c r="C8">
        <v>14000</v>
      </c>
      <c r="E8" t="s">
        <v>41</v>
      </c>
      <c r="H8" t="s">
        <v>43</v>
      </c>
      <c r="I8" t="s">
        <v>43</v>
      </c>
      <c r="J8">
        <f>IF(A8="","",IF(E8="Recover",MAX(0,C8-SUM(D8)),IF(E8="Capital amortized",IF(SUM(F8)&gt;0,ROUND(IF(SUM(G8)=0,(C8-SUM(D8))/F8,(C8-SUM(D8))*(G8/1200)/(1-(1+G8/1200)^(-F8)))*MIN(Building!$B$13,F8),2),0),0)))</f>
        <v>14000</v>
      </c>
      <c r="K8">
        <f>IF(J8="","",IF(I8="Yes",ROUND(J8*Building!$B$12,2),J8))</f>
        <v>14000</v>
      </c>
    </row>
    <row r="9">
      <c r="A9" t="s">
        <v>52</v>
      </c>
      <c r="B9" t="s">
        <v>40</v>
      </c>
      <c r="C9">
        <v>60000</v>
      </c>
      <c r="E9" t="s">
        <v>53</v>
      </c>
      <c r="H9" t="s">
        <v>43</v>
      </c>
      <c r="I9" t="s">
        <v>43</v>
      </c>
      <c r="J9">
        <f>IF(A9="","",IF(E9="Recover",MAX(0,C9-SUM(D9)),IF(E9="Capital amortized",IF(SUM(F9)&gt;0,ROUND(IF(SUM(G9)=0,(C9-SUM(D9))/F9,(C9-SUM(D9))*(G9/1200)/(1-(1+G9/1200)^(-F9)))*MIN(Building!$B$13,F9),2),0),0)))</f>
        <v>0</v>
      </c>
      <c r="K9">
        <f>IF(J9="","",IF(I9="Yes",ROUND(J9*Building!$B$12,2),J9))</f>
        <v>0</v>
      </c>
    </row>
    <row r="10">
      <c r="J10" t="str">
        <f>IF(A10="","",IF(E10="Recover",MAX(0,C10-SUM(D10)),IF(E10="Capital amortized",IF(SUM(F10)&gt;0,ROUND(IF(SUM(G10)=0,(C10-SUM(D10))/F10,(C10-SUM(D10))*(G10/1200)/(1-(1+G10/1200)^(-F10)))*MIN(Building!$B$13,F10),2),0),0)))</f>
        <v/>
      </c>
      <c r="K10" t="str">
        <f>IF(J10="","",IF(I10="Yes",ROUND(J10*Building!$B$12,2),J10))</f>
        <v/>
      </c>
    </row>
    <row r="11">
      <c r="J11" t="str">
        <f>IF(A11="","",IF(E11="Recover",MAX(0,C11-SUM(D11)),IF(E11="Capital amortized",IF(SUM(F11)&gt;0,ROUND(IF(SUM(G11)=0,(C11-SUM(D11))/F11,(C11-SUM(D11))*(G11/1200)/(1-(1+G11/1200)^(-F11)))*MIN(Building!$B$13,F11),2),0),0)))</f>
        <v/>
      </c>
      <c r="K11" t="str">
        <f>IF(J11="","",IF(I11="Yes",ROUND(J11*Building!$B$12,2),J11))</f>
        <v/>
      </c>
    </row>
    <row r="12">
      <c r="J12" t="str">
        <f>IF(A12="","",IF(E12="Recover",MAX(0,C12-SUM(D12)),IF(E12="Capital amortized",IF(SUM(F12)&gt;0,ROUND(IF(SUM(G12)=0,(C12-SUM(D12))/F12,(C12-SUM(D12))*(G12/1200)/(1-(1+G12/1200)^(-F12)))*MIN(Building!$B$13,F12),2),0),0)))</f>
        <v/>
      </c>
      <c r="K12" t="str">
        <f>IF(J12="","",IF(I12="Yes",ROUND(J12*Building!$B$12,2),J12))</f>
        <v/>
      </c>
    </row>
    <row r="13">
      <c r="J13" t="str">
        <f>IF(A13="","",IF(E13="Recover",MAX(0,C13-SUM(D13)),IF(E13="Capital amortized",IF(SUM(F13)&gt;0,ROUND(IF(SUM(G13)=0,(C13-SUM(D13))/F13,(C13-SUM(D13))*(G13/1200)/(1-(1+G13/1200)^(-F13)))*MIN(Building!$B$13,F13),2),0),0)))</f>
        <v/>
      </c>
      <c r="K13" t="str">
        <f>IF(J13="","",IF(I13="Yes",ROUND(J13*Building!$B$12,2),J13))</f>
        <v/>
      </c>
    </row>
    <row r="14">
      <c r="J14" t="str">
        <f>IF(A14="","",IF(E14="Recover",MAX(0,C14-SUM(D14)),IF(E14="Capital amortized",IF(SUM(F14)&gt;0,ROUND(IF(SUM(G14)=0,(C14-SUM(D14))/F14,(C14-SUM(D14))*(G14/1200)/(1-(1+G14/1200)^(-F14)))*MIN(Building!$B$13,F14),2),0),0)))</f>
        <v/>
      </c>
      <c r="K14" t="str">
        <f>IF(J14="","",IF(I14="Yes",ROUND(J14*Building!$B$12,2),J14))</f>
        <v/>
      </c>
    </row>
    <row r="15">
      <c r="J15" t="str">
        <f>IF(A15="","",IF(E15="Recover",MAX(0,C15-SUM(D15)),IF(E15="Capital amortized",IF(SUM(F15)&gt;0,ROUND(IF(SUM(G15)=0,(C15-SUM(D15))/F15,(C15-SUM(D15))*(G15/1200)/(1-(1+G15/1200)^(-F15)))*MIN(Building!$B$13,F15),2),0),0)))</f>
        <v/>
      </c>
      <c r="K15" t="str">
        <f>IF(J15="","",IF(I15="Yes",ROUND(J15*Building!$B$12,2),J15))</f>
        <v/>
      </c>
    </row>
    <row r="16">
      <c r="J16" t="str">
        <f>IF(A16="","",IF(E16="Recover",MAX(0,C16-SUM(D16)),IF(E16="Capital amortized",IF(SUM(F16)&gt;0,ROUND(IF(SUM(G16)=0,(C16-SUM(D16))/F16,(C16-SUM(D16))*(G16/1200)/(1-(1+G16/1200)^(-F16)))*MIN(Building!$B$13,F16),2),0),0)))</f>
        <v/>
      </c>
      <c r="K16" t="str">
        <f>IF(J16="","",IF(I16="Yes",ROUND(J16*Building!$B$12,2),J16))</f>
        <v/>
      </c>
    </row>
    <row r="17">
      <c r="J17" t="str">
        <f>IF(A17="","",IF(E17="Recover",MAX(0,C17-SUM(D17)),IF(E17="Capital amortized",IF(SUM(F17)&gt;0,ROUND(IF(SUM(G17)=0,(C17-SUM(D17))/F17,(C17-SUM(D17))*(G17/1200)/(1-(1+G17/1200)^(-F17)))*MIN(Building!$B$13,F17),2),0),0)))</f>
        <v/>
      </c>
      <c r="K17" t="str">
        <f>IF(J17="","",IF(I17="Yes",ROUND(J17*Building!$B$12,2),J17))</f>
        <v/>
      </c>
    </row>
    <row r="18">
      <c r="J18" t="str">
        <f>IF(A18="","",IF(E18="Recover",MAX(0,C18-SUM(D18)),IF(E18="Capital amortized",IF(SUM(F18)&gt;0,ROUND(IF(SUM(G18)=0,(C18-SUM(D18))/F18,(C18-SUM(D18))*(G18/1200)/(1-(1+G18/1200)^(-F18)))*MIN(Building!$B$13,F18),2),0),0)))</f>
        <v/>
      </c>
      <c r="K18" t="str">
        <f>IF(J18="","",IF(I18="Yes",ROUND(J18*Building!$B$12,2),J18))</f>
        <v/>
      </c>
    </row>
    <row r="19">
      <c r="J19" t="str">
        <f>IF(A19="","",IF(E19="Recover",MAX(0,C19-SUM(D19)),IF(E19="Capital amortized",IF(SUM(F19)&gt;0,ROUND(IF(SUM(G19)=0,(C19-SUM(D19))/F19,(C19-SUM(D19))*(G19/1200)/(1-(1+G19/1200)^(-F19)))*MIN(Building!$B$13,F19),2),0),0)))</f>
        <v/>
      </c>
      <c r="K19" t="str">
        <f>IF(J19="","",IF(I19="Yes",ROUND(J19*Building!$B$12,2),J19))</f>
        <v/>
      </c>
    </row>
    <row r="20">
      <c r="J20" t="str">
        <f>IF(A20="","",IF(E20="Recover",MAX(0,C20-SUM(D20)),IF(E20="Capital amortized",IF(SUM(F20)&gt;0,ROUND(IF(SUM(G20)=0,(C20-SUM(D20))/F20,(C20-SUM(D20))*(G20/1200)/(1-(1+G20/1200)^(-F20)))*MIN(Building!$B$13,F20),2),0),0)))</f>
        <v/>
      </c>
      <c r="K20" t="str">
        <f>IF(J20="","",IF(I20="Yes",ROUND(J20*Building!$B$12,2),J20))</f>
        <v/>
      </c>
    </row>
    <row r="21">
      <c r="J21" t="str">
        <f>IF(A21="","",IF(E21="Recover",MAX(0,C21-SUM(D21)),IF(E21="Capital amortized",IF(SUM(F21)&gt;0,ROUND(IF(SUM(G21)=0,(C21-SUM(D21))/F21,(C21-SUM(D21))*(G21/1200)/(1-(1+G21/1200)^(-F21)))*MIN(Building!$B$13,F21),2),0),0)))</f>
        <v/>
      </c>
      <c r="K21" t="str">
        <f>IF(J21="","",IF(I21="Yes",ROUND(J21*Building!$B$12,2),J21))</f>
        <v/>
      </c>
    </row>
    <row r="22">
      <c r="J22" t="str">
        <f>IF(A22="","",IF(E22="Recover",MAX(0,C22-SUM(D22)),IF(E22="Capital amortized",IF(SUM(F22)&gt;0,ROUND(IF(SUM(G22)=0,(C22-SUM(D22))/F22,(C22-SUM(D22))*(G22/1200)/(1-(1+G22/1200)^(-F22)))*MIN(Building!$B$13,F22),2),0),0)))</f>
        <v/>
      </c>
      <c r="K22" t="str">
        <f>IF(J22="","",IF(I22="Yes",ROUND(J22*Building!$B$12,2),J22))</f>
        <v/>
      </c>
    </row>
    <row r="23">
      <c r="J23" t="str">
        <f>IF(A23="","",IF(E23="Recover",MAX(0,C23-SUM(D23)),IF(E23="Capital amortized",IF(SUM(F23)&gt;0,ROUND(IF(SUM(G23)=0,(C23-SUM(D23))/F23,(C23-SUM(D23))*(G23/1200)/(1-(1+G23/1200)^(-F23)))*MIN(Building!$B$13,F23),2),0),0)))</f>
        <v/>
      </c>
      <c r="K23" t="str">
        <f>IF(J23="","",IF(I23="Yes",ROUND(J23*Building!$B$12,2),J23))</f>
        <v/>
      </c>
    </row>
    <row r="24">
      <c r="J24" t="str">
        <f>IF(A24="","",IF(E24="Recover",MAX(0,C24-SUM(D24)),IF(E24="Capital amortized",IF(SUM(F24)&gt;0,ROUND(IF(SUM(G24)=0,(C24-SUM(D24))/F24,(C24-SUM(D24))*(G24/1200)/(1-(1+G24/1200)^(-F24)))*MIN(Building!$B$13,F24),2),0),0)))</f>
        <v/>
      </c>
      <c r="K24" t="str">
        <f>IF(J24="","",IF(I24="Yes",ROUND(J24*Building!$B$12,2),J24))</f>
        <v/>
      </c>
    </row>
    <row r="25">
      <c r="J25" t="str">
        <f>IF(A25="","",IF(E25="Recover",MAX(0,C25-SUM(D25)),IF(E25="Capital amortized",IF(SUM(F25)&gt;0,ROUND(IF(SUM(G25)=0,(C25-SUM(D25))/F25,(C25-SUM(D25))*(G25/1200)/(1-(1+G25/1200)^(-F25)))*MIN(Building!$B$13,F25),2),0),0)))</f>
        <v/>
      </c>
      <c r="K25" t="str">
        <f>IF(J25="","",IF(I25="Yes",ROUND(J25*Building!$B$12,2),J25))</f>
        <v/>
      </c>
    </row>
    <row r="26">
      <c r="J26" t="str">
        <f>IF(A26="","",IF(E26="Recover",MAX(0,C26-SUM(D26)),IF(E26="Capital amortized",IF(SUM(F26)&gt;0,ROUND(IF(SUM(G26)=0,(C26-SUM(D26))/F26,(C26-SUM(D26))*(G26/1200)/(1-(1+G26/1200)^(-F26)))*MIN(Building!$B$13,F26),2),0),0)))</f>
        <v/>
      </c>
      <c r="K26" t="str">
        <f>IF(J26="","",IF(I26="Yes",ROUND(J26*Building!$B$12,2),J26))</f>
        <v/>
      </c>
    </row>
    <row r="27">
      <c r="J27" t="str">
        <f>IF(A27="","",IF(E27="Recover",MAX(0,C27-SUM(D27)),IF(E27="Capital amortized",IF(SUM(F27)&gt;0,ROUND(IF(SUM(G27)=0,(C27-SUM(D27))/F27,(C27-SUM(D27))*(G27/1200)/(1-(1+G27/1200)^(-F27)))*MIN(Building!$B$13,F27),2),0),0)))</f>
        <v/>
      </c>
      <c r="K27" t="str">
        <f>IF(J27="","",IF(I27="Yes",ROUND(J27*Building!$B$12,2),J27))</f>
        <v/>
      </c>
    </row>
    <row r="28">
      <c r="J28" t="str">
        <f>IF(A28="","",IF(E28="Recover",MAX(0,C28-SUM(D28)),IF(E28="Capital amortized",IF(SUM(F28)&gt;0,ROUND(IF(SUM(G28)=0,(C28-SUM(D28))/F28,(C28-SUM(D28))*(G28/1200)/(1-(1+G28/1200)^(-F28)))*MIN(Building!$B$13,F28),2),0),0)))</f>
        <v/>
      </c>
      <c r="K28" t="str">
        <f>IF(J28="","",IF(I28="Yes",ROUND(J28*Building!$B$12,2),J28))</f>
        <v/>
      </c>
    </row>
    <row r="29">
      <c r="J29" t="str">
        <f>IF(A29="","",IF(E29="Recover",MAX(0,C29-SUM(D29)),IF(E29="Capital amortized",IF(SUM(F29)&gt;0,ROUND(IF(SUM(G29)=0,(C29-SUM(D29))/F29,(C29-SUM(D29))*(G29/1200)/(1-(1+G29/1200)^(-F29)))*MIN(Building!$B$13,F29),2),0),0)))</f>
        <v/>
      </c>
      <c r="K29" t="str">
        <f>IF(J29="","",IF(I29="Yes",ROUND(J29*Building!$B$12,2),J29))</f>
        <v/>
      </c>
    </row>
    <row r="30">
      <c r="J30" t="str">
        <f>IF(A30="","",IF(E30="Recover",MAX(0,C30-SUM(D30)),IF(E30="Capital amortized",IF(SUM(F30)&gt;0,ROUND(IF(SUM(G30)=0,(C30-SUM(D30))/F30,(C30-SUM(D30))*(G30/1200)/(1-(1+G30/1200)^(-F30)))*MIN(Building!$B$13,F30),2),0),0)))</f>
        <v/>
      </c>
      <c r="K30" t="str">
        <f>IF(J30="","",IF(I30="Yes",ROUND(J30*Building!$B$12,2),J30))</f>
        <v/>
      </c>
    </row>
    <row r="31">
      <c r="J31" t="str">
        <f>IF(A31="","",IF(E31="Recover",MAX(0,C31-SUM(D31)),IF(E31="Capital amortized",IF(SUM(F31)&gt;0,ROUND(IF(SUM(G31)=0,(C31-SUM(D31))/F31,(C31-SUM(D31))*(G31/1200)/(1-(1+G31/1200)^(-F31)))*MIN(Building!$B$13,F31),2),0),0)))</f>
        <v/>
      </c>
      <c r="K31" t="str">
        <f>IF(J31="","",IF(I31="Yes",ROUND(J31*Building!$B$12,2),J31))</f>
        <v/>
      </c>
    </row>
    <row r="32">
      <c r="J32" t="str">
        <f>IF(A32="","",IF(E32="Recover",MAX(0,C32-SUM(D32)),IF(E32="Capital amortized",IF(SUM(F32)&gt;0,ROUND(IF(SUM(G32)=0,(C32-SUM(D32))/F32,(C32-SUM(D32))*(G32/1200)/(1-(1+G32/1200)^(-F32)))*MIN(Building!$B$13,F32),2),0),0)))</f>
        <v/>
      </c>
      <c r="K32" t="str">
        <f>IF(J32="","",IF(I32="Yes",ROUND(J32*Building!$B$12,2),J32))</f>
        <v/>
      </c>
    </row>
    <row r="33">
      <c r="J33" t="str">
        <f>IF(A33="","",IF(E33="Recover",MAX(0,C33-SUM(D33)),IF(E33="Capital amortized",IF(SUM(F33)&gt;0,ROUND(IF(SUM(G33)=0,(C33-SUM(D33))/F33,(C33-SUM(D33))*(G33/1200)/(1-(1+G33/1200)^(-F33)))*MIN(Building!$B$13,F33),2),0),0)))</f>
        <v/>
      </c>
      <c r="K33" t="str">
        <f>IF(J33="","",IF(I33="Yes",ROUND(J33*Building!$B$12,2),J33))</f>
        <v/>
      </c>
    </row>
    <row r="34">
      <c r="J34" t="str">
        <f>IF(A34="","",IF(E34="Recover",MAX(0,C34-SUM(D34)),IF(E34="Capital amortized",IF(SUM(F34)&gt;0,ROUND(IF(SUM(G34)=0,(C34-SUM(D34))/F34,(C34-SUM(D34))*(G34/1200)/(1-(1+G34/1200)^(-F34)))*MIN(Building!$B$13,F34),2),0),0)))</f>
        <v/>
      </c>
      <c r="K34" t="str">
        <f>IF(J34="","",IF(I34="Yes",ROUND(J34*Building!$B$12,2),J34))</f>
        <v/>
      </c>
    </row>
    <row r="35">
      <c r="J35" t="str">
        <f>IF(A35="","",IF(E35="Recover",MAX(0,C35-SUM(D35)),IF(E35="Capital amortized",IF(SUM(F35)&gt;0,ROUND(IF(SUM(G35)=0,(C35-SUM(D35))/F35,(C35-SUM(D35))*(G35/1200)/(1-(1+G35/1200)^(-F35)))*MIN(Building!$B$13,F35),2),0),0)))</f>
        <v/>
      </c>
      <c r="K35" t="str">
        <f>IF(J35="","",IF(I35="Yes",ROUND(J35*Building!$B$12,2),J35))</f>
        <v/>
      </c>
    </row>
    <row r="36">
      <c r="J36" t="str">
        <f>IF(A36="","",IF(E36="Recover",MAX(0,C36-SUM(D36)),IF(E36="Capital amortized",IF(SUM(F36)&gt;0,ROUND(IF(SUM(G36)=0,(C36-SUM(D36))/F36,(C36-SUM(D36))*(G36/1200)/(1-(1+G36/1200)^(-F36)))*MIN(Building!$B$13,F36),2),0),0)))</f>
        <v/>
      </c>
      <c r="K36" t="str">
        <f>IF(J36="","",IF(I36="Yes",ROUND(J36*Building!$B$12,2),J36))</f>
        <v/>
      </c>
    </row>
    <row r="37">
      <c r="J37" t="str">
        <f>IF(A37="","",IF(E37="Recover",MAX(0,C37-SUM(D37)),IF(E37="Capital amortized",IF(SUM(F37)&gt;0,ROUND(IF(SUM(G37)=0,(C37-SUM(D37))/F37,(C37-SUM(D37))*(G37/1200)/(1-(1+G37/1200)^(-F37)))*MIN(Building!$B$13,F37),2),0),0)))</f>
        <v/>
      </c>
      <c r="K37" t="str">
        <f>IF(J37="","",IF(I37="Yes",ROUND(J37*Building!$B$12,2),J37))</f>
        <v/>
      </c>
    </row>
    <row r="38">
      <c r="J38" t="str">
        <f>IF(A38="","",IF(E38="Recover",MAX(0,C38-SUM(D38)),IF(E38="Capital amortized",IF(SUM(F38)&gt;0,ROUND(IF(SUM(G38)=0,(C38-SUM(D38))/F38,(C38-SUM(D38))*(G38/1200)/(1-(1+G38/1200)^(-F38)))*MIN(Building!$B$13,F38),2),0),0)))</f>
        <v/>
      </c>
      <c r="K38" t="str">
        <f>IF(J38="","",IF(I38="Yes",ROUND(J38*Building!$B$12,2),J38))</f>
        <v/>
      </c>
    </row>
    <row r="39">
      <c r="J39" t="str">
        <f>IF(A39="","",IF(E39="Recover",MAX(0,C39-SUM(D39)),IF(E39="Capital amortized",IF(SUM(F39)&gt;0,ROUND(IF(SUM(G39)=0,(C39-SUM(D39))/F39,(C39-SUM(D39))*(G39/1200)/(1-(1+G39/1200)^(-F39)))*MIN(Building!$B$13,F39),2),0),0)))</f>
        <v/>
      </c>
      <c r="K39" t="str">
        <f>IF(J39="","",IF(I39="Yes",ROUND(J39*Building!$B$12,2),J39))</f>
        <v/>
      </c>
    </row>
    <row r="40">
      <c r="J40" t="str">
        <f>IF(A40="","",IF(E40="Recover",MAX(0,C40-SUM(D40)),IF(E40="Capital amortized",IF(SUM(F40)&gt;0,ROUND(IF(SUM(G40)=0,(C40-SUM(D40))/F40,(C40-SUM(D40))*(G40/1200)/(1-(1+G40/1200)^(-F40)))*MIN(Building!$B$13,F40),2),0),0)))</f>
        <v/>
      </c>
      <c r="K40" t="str">
        <f>IF(J40="","",IF(I40="Yes",ROUND(J40*Building!$B$12,2),J40))</f>
        <v/>
      </c>
    </row>
    <row r="41">
      <c r="J41" t="str">
        <f>IF(A41="","",IF(E41="Recover",MAX(0,C41-SUM(D41)),IF(E41="Capital amortized",IF(SUM(F41)&gt;0,ROUND(IF(SUM(G41)=0,(C41-SUM(D41))/F41,(C41-SUM(D41))*(G41/1200)/(1-(1+G41/1200)^(-F41)))*MIN(Building!$B$13,F41),2),0),0)))</f>
        <v/>
      </c>
      <c r="K41" t="str">
        <f>IF(J41="","",IF(I41="Yes",ROUND(J41*Building!$B$12,2),J41))</f>
        <v/>
      </c>
    </row>
  </sheetData>
</worksheet>
</file>

<file path=xl/worksheets/sheet4.xml><?xml version="1.0" encoding="utf-8"?>
<worksheet xmlns="http://schemas.openxmlformats.org/spreadsheetml/2006/main">
  <sheetData>
    <row r="1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  <c r="T1" t="s">
        <v>73</v>
      </c>
      <c r="U1" t="s">
        <v>74</v>
      </c>
    </row>
    <row r="2">
      <c r="A2" t="s">
        <v>75</v>
      </c>
      <c r="B2">
        <v>10000</v>
      </c>
      <c r="C2" t="s">
        <v>76</v>
      </c>
      <c r="H2">
        <v>46800</v>
      </c>
      <c r="I2">
        <f>IF(A2="","",MAX(0,MIN(IF(G2="",Building!$B$5,G2),Building!$B$5)-MAX(IF(F2="",Building!$B$4,F2),Building!$B$4)+1))</f>
        <v>365</v>
      </c>
      <c r="J2">
        <f>IF(A2="","",IF(C2="Fixed",E2/100,B2/IF(C2="Other area",D2,Building!$B$7)))</f>
        <v>0.5</v>
      </c>
      <c r="K2">
        <f>IF(A2="","",I2/Building!$B$6)</f>
        <v>1</v>
      </c>
      <c r="L2" t="s">
        <v>77</v>
      </c>
      <c r="M2">
        <v>5</v>
      </c>
      <c r="N2">
        <v>17000</v>
      </c>
      <c r="Q2">
        <v>10</v>
      </c>
      <c r="R2" t="s">
        <v>40</v>
      </c>
    </row>
    <row r="3">
      <c r="A3" t="s">
        <v>78</v>
      </c>
      <c r="B3">
        <v>6000</v>
      </c>
      <c r="C3" t="s">
        <v>76</v>
      </c>
      <c r="F3" s="1">
        <v>45748</v>
      </c>
      <c r="H3">
        <v>24300</v>
      </c>
      <c r="I3">
        <f>IF(A3="","",MAX(0,MIN(IF(G3="",Building!$B$5,G3),Building!$B$5)-MAX(IF(F3="",Building!$B$4,F3),Building!$B$4)+1))</f>
        <v>275</v>
      </c>
      <c r="J3">
        <f>IF(A3="","",IF(C3="Fixed",E3/100,B3/IF(C3="Other area",D3,Building!$B$7)))</f>
        <v>0.3</v>
      </c>
      <c r="K3">
        <f>IF(A3="","",I3/Building!$B$6)</f>
        <v>0.7534246575342466</v>
      </c>
      <c r="L3" t="s">
        <v>79</v>
      </c>
      <c r="Q3">
        <v>10</v>
      </c>
      <c r="R3" t="s">
        <v>40</v>
      </c>
    </row>
    <row r="4">
      <c r="I4" t="str">
        <f>IF(A4="","",MAX(0,MIN(IF(G4="",Building!$B$5,G4),Building!$B$5)-MAX(IF(F4="",Building!$B$4,F4),Building!$B$4)+1))</f>
        <v/>
      </c>
      <c r="J4" t="str">
        <f>IF(A4="","",IF(C4="Fixed",E4/100,B4/IF(C4="Other area",D4,Building!$B$7)))</f>
        <v/>
      </c>
      <c r="K4" t="str">
        <f>IF(A4="","",I4/Building!$B$6)</f>
        <v/>
      </c>
    </row>
    <row r="5">
      <c r="I5" t="str">
        <f>IF(A5="","",MAX(0,MIN(IF(G5="",Building!$B$5,G5),Building!$B$5)-MAX(IF(F5="",Building!$B$4,F5),Building!$B$4)+1))</f>
        <v/>
      </c>
      <c r="J5" t="str">
        <f>IF(A5="","",IF(C5="Fixed",E5/100,B5/IF(C5="Other area",D5,Building!$B$7)))</f>
        <v/>
      </c>
      <c r="K5" t="str">
        <f>IF(A5="","",I5/Building!$B$6)</f>
        <v/>
      </c>
    </row>
    <row r="6">
      <c r="I6" t="str">
        <f>IF(A6="","",MAX(0,MIN(IF(G6="",Building!$B$5,G6),Building!$B$5)-MAX(IF(F6="",Building!$B$4,F6),Building!$B$4)+1))</f>
        <v/>
      </c>
      <c r="J6" t="str">
        <f>IF(A6="","",IF(C6="Fixed",E6/100,B6/IF(C6="Other area",D6,Building!$B$7)))</f>
        <v/>
      </c>
      <c r="K6" t="str">
        <f>IF(A6="","",I6/Building!$B$6)</f>
        <v/>
      </c>
    </row>
    <row r="7">
      <c r="I7" t="str">
        <f>IF(A7="","",MAX(0,MIN(IF(G7="",Building!$B$5,G7),Building!$B$5)-MAX(IF(F7="",Building!$B$4,F7),Building!$B$4)+1))</f>
        <v/>
      </c>
      <c r="J7" t="str">
        <f>IF(A7="","",IF(C7="Fixed",E7/100,B7/IF(C7="Other area",D7,Building!$B$7)))</f>
        <v/>
      </c>
      <c r="K7" t="str">
        <f>IF(A7="","",I7/Building!$B$6)</f>
        <v/>
      </c>
    </row>
    <row r="8">
      <c r="I8" t="str">
        <f>IF(A8="","",MAX(0,MIN(IF(G8="",Building!$B$5,G8),Building!$B$5)-MAX(IF(F8="",Building!$B$4,F8),Building!$B$4)+1))</f>
        <v/>
      </c>
      <c r="J8" t="str">
        <f>IF(A8="","",IF(C8="Fixed",E8/100,B8/IF(C8="Other area",D8,Building!$B$7)))</f>
        <v/>
      </c>
      <c r="K8" t="str">
        <f>IF(A8="","",I8/Building!$B$6)</f>
        <v/>
      </c>
    </row>
    <row r="9">
      <c r="I9" t="str">
        <f>IF(A9="","",MAX(0,MIN(IF(G9="",Building!$B$5,G9),Building!$B$5)-MAX(IF(F9="",Building!$B$4,F9),Building!$B$4)+1))</f>
        <v/>
      </c>
      <c r="J9" t="str">
        <f>IF(A9="","",IF(C9="Fixed",E9/100,B9/IF(C9="Other area",D9,Building!$B$7)))</f>
        <v/>
      </c>
      <c r="K9" t="str">
        <f>IF(A9="","",I9/Building!$B$6)</f>
        <v/>
      </c>
    </row>
    <row r="10">
      <c r="I10" t="str">
        <f>IF(A10="","",MAX(0,MIN(IF(G10="",Building!$B$5,G10),Building!$B$5)-MAX(IF(F10="",Building!$B$4,F10),Building!$B$4)+1))</f>
        <v/>
      </c>
      <c r="J10" t="str">
        <f>IF(A10="","",IF(C10="Fixed",E10/100,B10/IF(C10="Other area",D10,Building!$B$7)))</f>
        <v/>
      </c>
      <c r="K10" t="str">
        <f>IF(A10="","",I10/Building!$B$6)</f>
        <v/>
      </c>
    </row>
    <row r="11">
      <c r="I11" t="str">
        <f>IF(A11="","",MAX(0,MIN(IF(G11="",Building!$B$5,G11),Building!$B$5)-MAX(IF(F11="",Building!$B$4,F11),Building!$B$4)+1))</f>
        <v/>
      </c>
      <c r="J11" t="str">
        <f>IF(A11="","",IF(C11="Fixed",E11/100,B11/IF(C11="Other area",D11,Building!$B$7)))</f>
        <v/>
      </c>
      <c r="K11" t="str">
        <f>IF(A11="","",I11/Building!$B$6)</f>
        <v/>
      </c>
    </row>
    <row r="12">
      <c r="I12" t="str">
        <f>IF(A12="","",MAX(0,MIN(IF(G12="",Building!$B$5,G12),Building!$B$5)-MAX(IF(F12="",Building!$B$4,F12),Building!$B$4)+1))</f>
        <v/>
      </c>
      <c r="J12" t="str">
        <f>IF(A12="","",IF(C12="Fixed",E12/100,B12/IF(C12="Other area",D12,Building!$B$7)))</f>
        <v/>
      </c>
      <c r="K12" t="str">
        <f>IF(A12="","",I12/Building!$B$6)</f>
        <v/>
      </c>
    </row>
    <row r="13">
      <c r="I13" t="str">
        <f>IF(A13="","",MAX(0,MIN(IF(G13="",Building!$B$5,G13),Building!$B$5)-MAX(IF(F13="",Building!$B$4,F13),Building!$B$4)+1))</f>
        <v/>
      </c>
      <c r="J13" t="str">
        <f>IF(A13="","",IF(C13="Fixed",E13/100,B13/IF(C13="Other area",D13,Building!$B$7)))</f>
        <v/>
      </c>
      <c r="K13" t="str">
        <f>IF(A13="","",I13/Building!$B$6)</f>
        <v/>
      </c>
    </row>
    <row r="14">
      <c r="I14" t="str">
        <f>IF(A14="","",MAX(0,MIN(IF(G14="",Building!$B$5,G14),Building!$B$5)-MAX(IF(F14="",Building!$B$4,F14),Building!$B$4)+1))</f>
        <v/>
      </c>
      <c r="J14" t="str">
        <f>IF(A14="","",IF(C14="Fixed",E14/100,B14/IF(C14="Other area",D14,Building!$B$7)))</f>
        <v/>
      </c>
      <c r="K14" t="str">
        <f>IF(A14="","",I14/Building!$B$6)</f>
        <v/>
      </c>
    </row>
    <row r="15">
      <c r="I15" t="str">
        <f>IF(A15="","",MAX(0,MIN(IF(G15="",Building!$B$5,G15),Building!$B$5)-MAX(IF(F15="",Building!$B$4,F15),Building!$B$4)+1))</f>
        <v/>
      </c>
      <c r="J15" t="str">
        <f>IF(A15="","",IF(C15="Fixed",E15/100,B15/IF(C15="Other area",D15,Building!$B$7)))</f>
        <v/>
      </c>
      <c r="K15" t="str">
        <f>IF(A15="","",I15/Building!$B$6)</f>
        <v/>
      </c>
    </row>
    <row r="16">
      <c r="I16" t="str">
        <f>IF(A16="","",MAX(0,MIN(IF(G16="",Building!$B$5,G16),Building!$B$5)-MAX(IF(F16="",Building!$B$4,F16),Building!$B$4)+1))</f>
        <v/>
      </c>
      <c r="J16" t="str">
        <f>IF(A16="","",IF(C16="Fixed",E16/100,B16/IF(C16="Other area",D16,Building!$B$7)))</f>
        <v/>
      </c>
      <c r="K16" t="str">
        <f>IF(A16="","",I16/Building!$B$6)</f>
        <v/>
      </c>
    </row>
    <row r="17">
      <c r="I17" t="str">
        <f>IF(A17="","",MAX(0,MIN(IF(G17="",Building!$B$5,G17),Building!$B$5)-MAX(IF(F17="",Building!$B$4,F17),Building!$B$4)+1))</f>
        <v/>
      </c>
      <c r="J17" t="str">
        <f>IF(A17="","",IF(C17="Fixed",E17/100,B17/IF(C17="Other area",D17,Building!$B$7)))</f>
        <v/>
      </c>
      <c r="K17" t="str">
        <f>IF(A17="","",I17/Building!$B$6)</f>
        <v/>
      </c>
    </row>
    <row r="18">
      <c r="I18" t="str">
        <f>IF(A18="","",MAX(0,MIN(IF(G18="",Building!$B$5,G18),Building!$B$5)-MAX(IF(F18="",Building!$B$4,F18),Building!$B$4)+1))</f>
        <v/>
      </c>
      <c r="J18" t="str">
        <f>IF(A18="","",IF(C18="Fixed",E18/100,B18/IF(C18="Other area",D18,Building!$B$7)))</f>
        <v/>
      </c>
      <c r="K18" t="str">
        <f>IF(A18="","",I18/Building!$B$6)</f>
        <v/>
      </c>
    </row>
    <row r="19">
      <c r="I19" t="str">
        <f>IF(A19="","",MAX(0,MIN(IF(G19="",Building!$B$5,G19),Building!$B$5)-MAX(IF(F19="",Building!$B$4,F19),Building!$B$4)+1))</f>
        <v/>
      </c>
      <c r="J19" t="str">
        <f>IF(A19="","",IF(C19="Fixed",E19/100,B19/IF(C19="Other area",D19,Building!$B$7)))</f>
        <v/>
      </c>
      <c r="K19" t="str">
        <f>IF(A19="","",I19/Building!$B$6)</f>
        <v/>
      </c>
    </row>
    <row r="20">
      <c r="I20" t="str">
        <f>IF(A20="","",MAX(0,MIN(IF(G20="",Building!$B$5,G20),Building!$B$5)-MAX(IF(F20="",Building!$B$4,F20),Building!$B$4)+1))</f>
        <v/>
      </c>
      <c r="J20" t="str">
        <f>IF(A20="","",IF(C20="Fixed",E20/100,B20/IF(C20="Other area",D20,Building!$B$7)))</f>
        <v/>
      </c>
      <c r="K20" t="str">
        <f>IF(A20="","",I20/Building!$B$6)</f>
        <v/>
      </c>
    </row>
    <row r="21">
      <c r="I21" t="str">
        <f>IF(A21="","",MAX(0,MIN(IF(G21="",Building!$B$5,G21),Building!$B$5)-MAX(IF(F21="",Building!$B$4,F21),Building!$B$4)+1))</f>
        <v/>
      </c>
      <c r="J21" t="str">
        <f>IF(A21="","",IF(C21="Fixed",E21/100,B21/IF(C21="Other area",D21,Building!$B$7)))</f>
        <v/>
      </c>
      <c r="K21" t="str">
        <f>IF(A21="","",I21/Building!$B$6)</f>
        <v/>
      </c>
    </row>
  </sheetData>
</worksheet>
</file>

<file path=xl/worksheets/sheet5.xml><?xml version="1.0" encoding="utf-8"?>
<worksheet xmlns="http://schemas.openxmlformats.org/spreadsheetml/2006/main">
  <sheetData>
    <row r="1">
      <c r="A1" t="s">
        <v>80</v>
      </c>
      <c r="B1" t="str">
        <f>IF(Tenants!A2="","",Tenants!A2)</f>
        <v>Tenant A</v>
      </c>
      <c r="C1" t="str">
        <f>IF(Tenants!A3="","",Tenants!A3)</f>
        <v>Tenant B</v>
      </c>
      <c r="D1" t="str">
        <f>IF(Tenants!A4="","",Tenants!A4)</f>
        <v/>
      </c>
      <c r="E1" t="str">
        <f>IF(Tenants!A5="","",Tenants!A5)</f>
        <v/>
      </c>
      <c r="F1" t="str">
        <f>IF(Tenants!A6="","",Tenants!A6)</f>
        <v/>
      </c>
      <c r="G1" t="str">
        <f>IF(Tenants!A7="","",Tenants!A7)</f>
        <v/>
      </c>
      <c r="H1" t="str">
        <f>IF(Tenants!A8="","",Tenants!A8)</f>
        <v/>
      </c>
      <c r="I1" t="str">
        <f>IF(Tenants!A9="","",Tenants!A9)</f>
        <v/>
      </c>
      <c r="J1" t="str">
        <f>IF(Tenants!A10="","",Tenants!A10)</f>
        <v/>
      </c>
      <c r="K1" t="str">
        <f>IF(Tenants!A11="","",Tenants!A11)</f>
        <v/>
      </c>
      <c r="L1" t="str">
        <f>IF(Tenants!A12="","",Tenants!A12)</f>
        <v/>
      </c>
      <c r="M1" t="str">
        <f>IF(Tenants!A13="","",Tenants!A13)</f>
        <v/>
      </c>
      <c r="N1" t="str">
        <f>IF(Tenants!A14="","",Tenants!A14)</f>
        <v/>
      </c>
      <c r="O1" t="str">
        <f>IF(Tenants!A15="","",Tenants!A15)</f>
        <v/>
      </c>
      <c r="P1" t="str">
        <f>IF(Tenants!A16="","",Tenants!A16)</f>
        <v/>
      </c>
      <c r="Q1" t="str">
        <f>IF(Tenants!A17="","",Tenants!A17)</f>
        <v/>
      </c>
      <c r="R1" t="str">
        <f>IF(Tenants!A18="","",Tenants!A18)</f>
        <v/>
      </c>
      <c r="S1" t="str">
        <f>IF(Tenants!A19="","",Tenants!A19)</f>
        <v/>
      </c>
      <c r="T1" t="str">
        <f>IF(Tenants!A20="","",Tenants!A20)</f>
        <v/>
      </c>
      <c r="U1" t="str">
        <f>IF(Tenants!A21="","",Tenants!A21)</f>
        <v/>
      </c>
    </row>
    <row r="2">
      <c r="A2" t="str">
        <f>IF(Expenses!A2="","",Expenses!A2)</f>
        <v>Landscaping</v>
      </c>
    </row>
    <row r="3">
      <c r="A3" t="str">
        <f>IF(Expenses!A3="","",Expenses!A3)</f>
        <v>Parking lot sweeping</v>
      </c>
    </row>
    <row r="4">
      <c r="A4" t="str">
        <f>IF(Expenses!A4="","",Expenses!A4)</f>
        <v>Repairs and maintenance</v>
      </c>
    </row>
    <row r="5">
      <c r="A5" t="str">
        <f>IF(Expenses!A5="","",Expenses!A5)</f>
        <v>Trash removal</v>
      </c>
    </row>
    <row r="6">
      <c r="A6" t="str">
        <f>IF(Expenses!A6="","",Expenses!A6)</f>
        <v>Common area water</v>
      </c>
    </row>
    <row r="7">
      <c r="A7" t="str">
        <f>IF(Expenses!A7="","",Expenses!A7)</f>
        <v>Property tax</v>
      </c>
    </row>
    <row r="8">
      <c r="A8" t="str">
        <f>IF(Expenses!A8="","",Expenses!A8)</f>
        <v>Property insurance</v>
      </c>
    </row>
    <row r="9">
      <c r="A9" t="str">
        <f>IF(Expenses!A9="","",Expenses!A9)</f>
        <v>Roof replacement</v>
      </c>
    </row>
    <row r="10">
      <c r="A10" t="str">
        <f>IF(Expenses!A10="","",Expenses!A10)</f>
        <v/>
      </c>
    </row>
    <row r="11">
      <c r="A11" t="str">
        <f>IF(Expenses!A11="","",Expenses!A11)</f>
        <v/>
      </c>
    </row>
    <row r="12">
      <c r="A12" t="str">
        <f>IF(Expenses!A12="","",Expenses!A12)</f>
        <v/>
      </c>
    </row>
    <row r="13">
      <c r="A13" t="str">
        <f>IF(Expenses!A13="","",Expenses!A13)</f>
        <v/>
      </c>
    </row>
    <row r="14">
      <c r="A14" t="str">
        <f>IF(Expenses!A14="","",Expenses!A14)</f>
        <v/>
      </c>
    </row>
    <row r="15">
      <c r="A15" t="str">
        <f>IF(Expenses!A15="","",Expenses!A15)</f>
        <v/>
      </c>
    </row>
    <row r="16">
      <c r="A16" t="str">
        <f>IF(Expenses!A16="","",Expenses!A16)</f>
        <v/>
      </c>
    </row>
    <row r="17">
      <c r="A17" t="str">
        <f>IF(Expenses!A17="","",Expenses!A17)</f>
        <v/>
      </c>
    </row>
    <row r="18">
      <c r="A18" t="str">
        <f>IF(Expenses!A18="","",Expenses!A18)</f>
        <v/>
      </c>
    </row>
    <row r="19">
      <c r="A19" t="str">
        <f>IF(Expenses!A19="","",Expenses!A19)</f>
        <v/>
      </c>
    </row>
    <row r="20">
      <c r="A20" t="str">
        <f>IF(Expenses!A20="","",Expenses!A20)</f>
        <v/>
      </c>
    </row>
    <row r="21">
      <c r="A21" t="str">
        <f>IF(Expenses!A21="","",Expenses!A21)</f>
        <v/>
      </c>
    </row>
    <row r="22">
      <c r="A22" t="str">
        <f>IF(Expenses!A22="","",Expenses!A22)</f>
        <v/>
      </c>
    </row>
    <row r="23">
      <c r="A23" t="str">
        <f>IF(Expenses!A23="","",Expenses!A23)</f>
        <v/>
      </c>
    </row>
    <row r="24">
      <c r="A24" t="str">
        <f>IF(Expenses!A24="","",Expenses!A24)</f>
        <v/>
      </c>
    </row>
    <row r="25">
      <c r="A25" t="str">
        <f>IF(Expenses!A25="","",Expenses!A25)</f>
        <v/>
      </c>
    </row>
    <row r="26">
      <c r="A26" t="str">
        <f>IF(Expenses!A26="","",Expenses!A26)</f>
        <v/>
      </c>
    </row>
    <row r="27">
      <c r="A27" t="str">
        <f>IF(Expenses!A27="","",Expenses!A27)</f>
        <v/>
      </c>
    </row>
    <row r="28">
      <c r="A28" t="str">
        <f>IF(Expenses!A28="","",Expenses!A28)</f>
        <v/>
      </c>
    </row>
    <row r="29">
      <c r="A29" t="str">
        <f>IF(Expenses!A29="","",Expenses!A29)</f>
        <v/>
      </c>
    </row>
    <row r="30">
      <c r="A30" t="str">
        <f>IF(Expenses!A30="","",Expenses!A30)</f>
        <v/>
      </c>
    </row>
    <row r="31">
      <c r="A31" t="str">
        <f>IF(Expenses!A31="","",Expenses!A31)</f>
        <v/>
      </c>
    </row>
    <row r="32">
      <c r="A32" t="str">
        <f>IF(Expenses!A32="","",Expenses!A32)</f>
        <v/>
      </c>
    </row>
    <row r="33">
      <c r="A33" t="str">
        <f>IF(Expenses!A33="","",Expenses!A33)</f>
        <v/>
      </c>
    </row>
    <row r="34">
      <c r="A34" t="str">
        <f>IF(Expenses!A34="","",Expenses!A34)</f>
        <v/>
      </c>
    </row>
    <row r="35">
      <c r="A35" t="str">
        <f>IF(Expenses!A35="","",Expenses!A35)</f>
        <v/>
      </c>
    </row>
    <row r="36">
      <c r="A36" t="str">
        <f>IF(Expenses!A36="","",Expenses!A36)</f>
        <v/>
      </c>
    </row>
    <row r="37">
      <c r="A37" t="str">
        <f>IF(Expenses!A37="","",Expenses!A37)</f>
        <v/>
      </c>
    </row>
    <row r="38">
      <c r="A38" t="str">
        <f>IF(Expenses!A38="","",Expenses!A38)</f>
        <v/>
      </c>
    </row>
    <row r="39">
      <c r="A39" t="str">
        <f>IF(Expenses!A39="","",Expenses!A39)</f>
        <v/>
      </c>
    </row>
    <row r="40">
      <c r="A40" t="str">
        <f>IF(Expenses!A40="","",Expenses!A40)</f>
        <v/>
      </c>
    </row>
    <row r="41">
      <c r="A41" t="str">
        <f>IF(Expenses!A41="","",Expenses!A41)</f>
        <v/>
      </c>
    </row>
  </sheetData>
</worksheet>
</file>

<file path=xl/worksheets/sheet6.xml><?xml version="1.0" encoding="utf-8"?>
<worksheet xmlns="http://schemas.openxmlformats.org/spreadsheetml/2006/main">
  <sheetData>
    <row r="1">
      <c r="A1" t="s">
        <v>81</v>
      </c>
      <c r="B1" t="s">
        <v>82</v>
      </c>
      <c r="C1" t="s">
        <v>83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  <c r="M1" t="s">
        <v>93</v>
      </c>
      <c r="N1" t="s">
        <v>94</v>
      </c>
      <c r="O1" t="s">
        <v>95</v>
      </c>
      <c r="P1" t="s">
        <v>96</v>
      </c>
    </row>
    <row r="2">
      <c r="A2" t="str">
        <f>IF(Tenants!A2="","",Tenants!A2)</f>
        <v>Tenant A</v>
      </c>
      <c r="B2">
        <f>IF(A2="","",ROUND(Tenants!J2*Tenants!K2*SUMPRODUCT((Expenses!$B$2:$B$41="CAM")*(Expenses!$H$2:$H$41="Yes")*(Exclusions!B$2:B$41&lt;&gt;"X"),Expenses!$K$2:$K$41),2))</f>
        <v>19233.96</v>
      </c>
      <c r="C2">
        <f>IF(A2="","",ROUND(Tenants!J2*Tenants!K2*SUMPRODUCT((Expenses!$B$2:$B$41="CAM")*(Expenses!$H$2:$H$41&lt;&gt;"Yes")*(Exclusions!B$2:B$41&lt;&gt;"X"),Expenses!$K$2:$K$41),2))</f>
        <v>2616.98</v>
      </c>
      <c r="D2">
        <f>IF(A2="","",ROUND(Tenants!J2*Tenants!K2*SUMPRODUCT((Expenses!$B$2:$B$41="Tax")*(Exclusions!B$2:B$41&lt;&gt;"X"),Expenses!$K$2:$K$41),2))</f>
        <v>20000</v>
      </c>
      <c r="E2">
        <f>IF(A2="","",ROUND(Tenants!J2*Tenants!K2*SUMPRODUCT((Expenses!$B$2:$B$41="Insurance")*(Exclusions!B$2:B$41&lt;&gt;"X"),Expenses!$K$2:$K$41),2))</f>
        <v>7000</v>
      </c>
      <c r="F2">
        <f>IF(OR(A2="",Tenants!L2="",Tenants!L2="None"),"",ROUND(IF(LEFT(Tenants!L2,3)="Non",Tenants!N2*(1+Tenants!M2/100),IF(Tenants!L2="Cumulative compounding",Tenants!O2*(1+Tenants!M2/100)^MAX(0,Tenants!P2-1),Tenants!O2*(1+Tenants!M2/100*MAX(0,Tenants!P2-1))))*Tenants!K2,2))</f>
        <v>17850</v>
      </c>
      <c r="G2">
        <f>IF(A2="","",IF(F2="",B2,MIN(B2,F2)))</f>
        <v>17850</v>
      </c>
      <c r="H2">
        <f>IF(A2="","",B2-G2)</f>
        <v>1383.96</v>
      </c>
      <c r="I2">
        <f>IF(A2="","",ROUND(Tenants!J2*Tenants!K2*SUM(Tenants!S2),2))</f>
        <v>0</v>
      </c>
      <c r="J2">
        <f>IF(A2="","",MAX(0,G2+C2-I2))</f>
        <v>20466.98</v>
      </c>
      <c r="K2">
        <f>IF(A2="","",MAX(0,D2-ROUND(Tenants!J2*Tenants!K2*SUM(Tenants!T2),2)))</f>
        <v>20000</v>
      </c>
      <c r="L2">
        <f>IF(A2="","",MAX(0,E2-ROUND(Tenants!J2*Tenants!K2*SUM(Tenants!U2),2)))</f>
        <v>7000</v>
      </c>
      <c r="M2">
        <f>IF(A2="","",ROUND(SUM(Tenants!Q2)/100*IF(Tenants!R2="CAM before cap",MAX(0,B2+C2-I2),IF(Tenants!R2="Controllable",G2,IF(Tenants!R2="All",J2+K2+L2,J2))),2))</f>
        <v>2046.7</v>
      </c>
      <c r="N2">
        <f>IF(A2="","",J2+K2+L2+M2)</f>
        <v>49513.68</v>
      </c>
      <c r="O2">
        <f>IF(A2="","",SUM(Tenants!H2))</f>
        <v>46800</v>
      </c>
      <c r="P2">
        <f>IF(A2="","",N2-O2)</f>
        <v>2713.68</v>
      </c>
    </row>
    <row r="3">
      <c r="A3" t="str">
        <f>IF(Tenants!A3="","",Tenants!A3)</f>
        <v>Tenant B</v>
      </c>
      <c r="B3">
        <f>IF(A3="","",ROUND(Tenants!J3*Tenants!K3*SUMPRODUCT((Expenses!$B$2:$B$41="CAM")*(Expenses!$H$2:$H$41="Yes")*(Exclusions!C$2:C$41&lt;&gt;"X"),Expenses!$K$2:$K$41),2))</f>
        <v>8694.8</v>
      </c>
      <c r="C3">
        <f>IF(A3="","",ROUND(Tenants!J3*Tenants!K3*SUMPRODUCT((Expenses!$B$2:$B$41="CAM")*(Expenses!$H$2:$H$41&lt;&gt;"Yes")*(Exclusions!C$2:C$41&lt;&gt;"X"),Expenses!$K$2:$K$41),2))</f>
        <v>1183.02</v>
      </c>
      <c r="D3">
        <f>IF(A3="","",ROUND(Tenants!J3*Tenants!K3*SUMPRODUCT((Expenses!$B$2:$B$41="Tax")*(Exclusions!C$2:C$41&lt;&gt;"X"),Expenses!$K$2:$K$41),2))</f>
        <v>9041.1</v>
      </c>
      <c r="E3">
        <f>IF(A3="","",ROUND(Tenants!J3*Tenants!K3*SUMPRODUCT((Expenses!$B$2:$B$41="Insurance")*(Exclusions!C$2:C$41&lt;&gt;"X"),Expenses!$K$2:$K$41),2))</f>
        <v>3164.38</v>
      </c>
      <c r="F3" t="str">
        <f>IF(OR(A3="",Tenants!L3="",Tenants!L3="None"),"",ROUND(IF(LEFT(Tenants!L3,3)="Non",Tenants!N3*(1+Tenants!M3/100),IF(Tenants!L3="Cumulative compounding",Tenants!O3*(1+Tenants!M3/100)^MAX(0,Tenants!P3-1),Tenants!O3*(1+Tenants!M3/100*MAX(0,Tenants!P3-1))))*Tenants!K3,2))</f>
        <v/>
      </c>
      <c r="G3">
        <f>IF(A3="","",IF(F3="",B3,MIN(B3,F3)))</f>
        <v>8694.8</v>
      </c>
      <c r="H3">
        <f>IF(A3="","",B3-G3)</f>
        <v>0</v>
      </c>
      <c r="I3">
        <f>IF(A3="","",ROUND(Tenants!J3*Tenants!K3*SUM(Tenants!S3),2))</f>
        <v>0</v>
      </c>
      <c r="J3">
        <f>IF(A3="","",MAX(0,G3+C3-I3))</f>
        <v>9877.82</v>
      </c>
      <c r="K3">
        <f>IF(A3="","",MAX(0,D3-ROUND(Tenants!J3*Tenants!K3*SUM(Tenants!T3),2)))</f>
        <v>9041.1</v>
      </c>
      <c r="L3">
        <f>IF(A3="","",MAX(0,E3-ROUND(Tenants!J3*Tenants!K3*SUM(Tenants!U3),2)))</f>
        <v>3164.38</v>
      </c>
      <c r="M3">
        <f>IF(A3="","",ROUND(SUM(Tenants!Q3)/100*IF(Tenants!R3="CAM before cap",MAX(0,B3+C3-I3),IF(Tenants!R3="Controllable",G3,IF(Tenants!R3="All",J3+K3+L3,J3))),2))</f>
        <v>987.78</v>
      </c>
      <c r="N3">
        <f>IF(A3="","",J3+K3+L3+M3)</f>
        <v>23071.08</v>
      </c>
      <c r="O3">
        <f>IF(A3="","",SUM(Tenants!H3))</f>
        <v>24300</v>
      </c>
      <c r="P3">
        <f>IF(A3="","",N3-O3)</f>
        <v>-1228.92</v>
      </c>
    </row>
    <row r="4">
      <c r="A4" t="str">
        <f>IF(Tenants!A4="","",Tenants!A4)</f>
        <v/>
      </c>
      <c r="B4" t="str">
        <f>IF(A4="","",ROUND(Tenants!J4*Tenants!K4*SUMPRODUCT((Expenses!$B$2:$B$41="CAM")*(Expenses!$H$2:$H$41="Yes")*(Exclusions!D$2:D$41&lt;&gt;"X"),Expenses!$K$2:$K$41),2))</f>
        <v/>
      </c>
      <c r="C4" t="str">
        <f>IF(A4="","",ROUND(Tenants!J4*Tenants!K4*SUMPRODUCT((Expenses!$B$2:$B$41="CAM")*(Expenses!$H$2:$H$41&lt;&gt;"Yes")*(Exclusions!D$2:D$41&lt;&gt;"X"),Expenses!$K$2:$K$41),2))</f>
        <v/>
      </c>
      <c r="D4" t="str">
        <f>IF(A4="","",ROUND(Tenants!J4*Tenants!K4*SUMPRODUCT((Expenses!$B$2:$B$41="Tax")*(Exclusions!D$2:D$41&lt;&gt;"X"),Expenses!$K$2:$K$41),2))</f>
        <v/>
      </c>
      <c r="E4" t="str">
        <f>IF(A4="","",ROUND(Tenants!J4*Tenants!K4*SUMPRODUCT((Expenses!$B$2:$B$41="Insurance")*(Exclusions!D$2:D$41&lt;&gt;"X"),Expenses!$K$2:$K$41),2))</f>
        <v/>
      </c>
      <c r="F4" t="str">
        <f>IF(OR(A4="",Tenants!L4="",Tenants!L4="None"),"",ROUND(IF(LEFT(Tenants!L4,3)="Non",Tenants!N4*(1+Tenants!M4/100),IF(Tenants!L4="Cumulative compounding",Tenants!O4*(1+Tenants!M4/100)^MAX(0,Tenants!P4-1),Tenants!O4*(1+Tenants!M4/100*MAX(0,Tenants!P4-1))))*Tenants!K4,2))</f>
        <v/>
      </c>
      <c r="G4" t="str">
        <f>IF(A4="","",IF(F4="",B4,MIN(B4,F4)))</f>
        <v/>
      </c>
      <c r="H4" t="str">
        <f>IF(A4="","",B4-G4)</f>
        <v/>
      </c>
      <c r="I4" t="str">
        <f>IF(A4="","",ROUND(Tenants!J4*Tenants!K4*SUM(Tenants!S4),2))</f>
        <v/>
      </c>
      <c r="J4" t="str">
        <f>IF(A4="","",MAX(0,G4+C4-I4))</f>
        <v/>
      </c>
      <c r="K4" t="str">
        <f>IF(A4="","",MAX(0,D4-ROUND(Tenants!J4*Tenants!K4*SUM(Tenants!T4),2)))</f>
        <v/>
      </c>
      <c r="L4" t="str">
        <f>IF(A4="","",MAX(0,E4-ROUND(Tenants!J4*Tenants!K4*SUM(Tenants!U4),2)))</f>
        <v/>
      </c>
      <c r="M4" t="str">
        <f>IF(A4="","",ROUND(SUM(Tenants!Q4)/100*IF(Tenants!R4="CAM before cap",MAX(0,B4+C4-I4),IF(Tenants!R4="Controllable",G4,IF(Tenants!R4="All",J4+K4+L4,J4))),2))</f>
        <v/>
      </c>
      <c r="N4" t="str">
        <f>IF(A4="","",J4+K4+L4+M4)</f>
        <v/>
      </c>
      <c r="O4" t="str">
        <f>IF(A4="","",SUM(Tenants!H4))</f>
        <v/>
      </c>
      <c r="P4" t="str">
        <f>IF(A4="","",N4-O4)</f>
        <v/>
      </c>
    </row>
    <row r="5">
      <c r="A5" t="str">
        <f>IF(Tenants!A5="","",Tenants!A5)</f>
        <v/>
      </c>
      <c r="B5" t="str">
        <f>IF(A5="","",ROUND(Tenants!J5*Tenants!K5*SUMPRODUCT((Expenses!$B$2:$B$41="CAM")*(Expenses!$H$2:$H$41="Yes")*(Exclusions!E$2:E$41&lt;&gt;"X"),Expenses!$K$2:$K$41),2))</f>
        <v/>
      </c>
      <c r="C5" t="str">
        <f>IF(A5="","",ROUND(Tenants!J5*Tenants!K5*SUMPRODUCT((Expenses!$B$2:$B$41="CAM")*(Expenses!$H$2:$H$41&lt;&gt;"Yes")*(Exclusions!E$2:E$41&lt;&gt;"X"),Expenses!$K$2:$K$41),2))</f>
        <v/>
      </c>
      <c r="D5" t="str">
        <f>IF(A5="","",ROUND(Tenants!J5*Tenants!K5*SUMPRODUCT((Expenses!$B$2:$B$41="Tax")*(Exclusions!E$2:E$41&lt;&gt;"X"),Expenses!$K$2:$K$41),2))</f>
        <v/>
      </c>
      <c r="E5" t="str">
        <f>IF(A5="","",ROUND(Tenants!J5*Tenants!K5*SUMPRODUCT((Expenses!$B$2:$B$41="Insurance")*(Exclusions!E$2:E$41&lt;&gt;"X"),Expenses!$K$2:$K$41),2))</f>
        <v/>
      </c>
      <c r="F5" t="str">
        <f>IF(OR(A5="",Tenants!L5="",Tenants!L5="None"),"",ROUND(IF(LEFT(Tenants!L5,3)="Non",Tenants!N5*(1+Tenants!M5/100),IF(Tenants!L5="Cumulative compounding",Tenants!O5*(1+Tenants!M5/100)^MAX(0,Tenants!P5-1),Tenants!O5*(1+Tenants!M5/100*MAX(0,Tenants!P5-1))))*Tenants!K5,2))</f>
        <v/>
      </c>
      <c r="G5" t="str">
        <f>IF(A5="","",IF(F5="",B5,MIN(B5,F5)))</f>
        <v/>
      </c>
      <c r="H5" t="str">
        <f>IF(A5="","",B5-G5)</f>
        <v/>
      </c>
      <c r="I5" t="str">
        <f>IF(A5="","",ROUND(Tenants!J5*Tenants!K5*SUM(Tenants!S5),2))</f>
        <v/>
      </c>
      <c r="J5" t="str">
        <f>IF(A5="","",MAX(0,G5+C5-I5))</f>
        <v/>
      </c>
      <c r="K5" t="str">
        <f>IF(A5="","",MAX(0,D5-ROUND(Tenants!J5*Tenants!K5*SUM(Tenants!T5),2)))</f>
        <v/>
      </c>
      <c r="L5" t="str">
        <f>IF(A5="","",MAX(0,E5-ROUND(Tenants!J5*Tenants!K5*SUM(Tenants!U5),2)))</f>
        <v/>
      </c>
      <c r="M5" t="str">
        <f>IF(A5="","",ROUND(SUM(Tenants!Q5)/100*IF(Tenants!R5="CAM before cap",MAX(0,B5+C5-I5),IF(Tenants!R5="Controllable",G5,IF(Tenants!R5="All",J5+K5+L5,J5))),2))</f>
        <v/>
      </c>
      <c r="N5" t="str">
        <f>IF(A5="","",J5+K5+L5+M5)</f>
        <v/>
      </c>
      <c r="O5" t="str">
        <f>IF(A5="","",SUM(Tenants!H5))</f>
        <v/>
      </c>
      <c r="P5" t="str">
        <f>IF(A5="","",N5-O5)</f>
        <v/>
      </c>
    </row>
    <row r="6">
      <c r="A6" t="str">
        <f>IF(Tenants!A6="","",Tenants!A6)</f>
        <v/>
      </c>
      <c r="B6" t="str">
        <f>IF(A6="","",ROUND(Tenants!J6*Tenants!K6*SUMPRODUCT((Expenses!$B$2:$B$41="CAM")*(Expenses!$H$2:$H$41="Yes")*(Exclusions!F$2:F$41&lt;&gt;"X"),Expenses!$K$2:$K$41),2))</f>
        <v/>
      </c>
      <c r="C6" t="str">
        <f>IF(A6="","",ROUND(Tenants!J6*Tenants!K6*SUMPRODUCT((Expenses!$B$2:$B$41="CAM")*(Expenses!$H$2:$H$41&lt;&gt;"Yes")*(Exclusions!F$2:F$41&lt;&gt;"X"),Expenses!$K$2:$K$41),2))</f>
        <v/>
      </c>
      <c r="D6" t="str">
        <f>IF(A6="","",ROUND(Tenants!J6*Tenants!K6*SUMPRODUCT((Expenses!$B$2:$B$41="Tax")*(Exclusions!F$2:F$41&lt;&gt;"X"),Expenses!$K$2:$K$41),2))</f>
        <v/>
      </c>
      <c r="E6" t="str">
        <f>IF(A6="","",ROUND(Tenants!J6*Tenants!K6*SUMPRODUCT((Expenses!$B$2:$B$41="Insurance")*(Exclusions!F$2:F$41&lt;&gt;"X"),Expenses!$K$2:$K$41),2))</f>
        <v/>
      </c>
      <c r="F6" t="str">
        <f>IF(OR(A6="",Tenants!L6="",Tenants!L6="None"),"",ROUND(IF(LEFT(Tenants!L6,3)="Non",Tenants!N6*(1+Tenants!M6/100),IF(Tenants!L6="Cumulative compounding",Tenants!O6*(1+Tenants!M6/100)^MAX(0,Tenants!P6-1),Tenants!O6*(1+Tenants!M6/100*MAX(0,Tenants!P6-1))))*Tenants!K6,2))</f>
        <v/>
      </c>
      <c r="G6" t="str">
        <f>IF(A6="","",IF(F6="",B6,MIN(B6,F6)))</f>
        <v/>
      </c>
      <c r="H6" t="str">
        <f>IF(A6="","",B6-G6)</f>
        <v/>
      </c>
      <c r="I6" t="str">
        <f>IF(A6="","",ROUND(Tenants!J6*Tenants!K6*SUM(Tenants!S6),2))</f>
        <v/>
      </c>
      <c r="J6" t="str">
        <f>IF(A6="","",MAX(0,G6+C6-I6))</f>
        <v/>
      </c>
      <c r="K6" t="str">
        <f>IF(A6="","",MAX(0,D6-ROUND(Tenants!J6*Tenants!K6*SUM(Tenants!T6),2)))</f>
        <v/>
      </c>
      <c r="L6" t="str">
        <f>IF(A6="","",MAX(0,E6-ROUND(Tenants!J6*Tenants!K6*SUM(Tenants!U6),2)))</f>
        <v/>
      </c>
      <c r="M6" t="str">
        <f>IF(A6="","",ROUND(SUM(Tenants!Q6)/100*IF(Tenants!R6="CAM before cap",MAX(0,B6+C6-I6),IF(Tenants!R6="Controllable",G6,IF(Tenants!R6="All",J6+K6+L6,J6))),2))</f>
        <v/>
      </c>
      <c r="N6" t="str">
        <f>IF(A6="","",J6+K6+L6+M6)</f>
        <v/>
      </c>
      <c r="O6" t="str">
        <f>IF(A6="","",SUM(Tenants!H6))</f>
        <v/>
      </c>
      <c r="P6" t="str">
        <f>IF(A6="","",N6-O6)</f>
        <v/>
      </c>
    </row>
    <row r="7">
      <c r="A7" t="str">
        <f>IF(Tenants!A7="","",Tenants!A7)</f>
        <v/>
      </c>
      <c r="B7" t="str">
        <f>IF(A7="","",ROUND(Tenants!J7*Tenants!K7*SUMPRODUCT((Expenses!$B$2:$B$41="CAM")*(Expenses!$H$2:$H$41="Yes")*(Exclusions!G$2:G$41&lt;&gt;"X"),Expenses!$K$2:$K$41),2))</f>
        <v/>
      </c>
      <c r="C7" t="str">
        <f>IF(A7="","",ROUND(Tenants!J7*Tenants!K7*SUMPRODUCT((Expenses!$B$2:$B$41="CAM")*(Expenses!$H$2:$H$41&lt;&gt;"Yes")*(Exclusions!G$2:G$41&lt;&gt;"X"),Expenses!$K$2:$K$41),2))</f>
        <v/>
      </c>
      <c r="D7" t="str">
        <f>IF(A7="","",ROUND(Tenants!J7*Tenants!K7*SUMPRODUCT((Expenses!$B$2:$B$41="Tax")*(Exclusions!G$2:G$41&lt;&gt;"X"),Expenses!$K$2:$K$41),2))</f>
        <v/>
      </c>
      <c r="E7" t="str">
        <f>IF(A7="","",ROUND(Tenants!J7*Tenants!K7*SUMPRODUCT((Expenses!$B$2:$B$41="Insurance")*(Exclusions!G$2:G$41&lt;&gt;"X"),Expenses!$K$2:$K$41),2))</f>
        <v/>
      </c>
      <c r="F7" t="str">
        <f>IF(OR(A7="",Tenants!L7="",Tenants!L7="None"),"",ROUND(IF(LEFT(Tenants!L7,3)="Non",Tenants!N7*(1+Tenants!M7/100),IF(Tenants!L7="Cumulative compounding",Tenants!O7*(1+Tenants!M7/100)^MAX(0,Tenants!P7-1),Tenants!O7*(1+Tenants!M7/100*MAX(0,Tenants!P7-1))))*Tenants!K7,2))</f>
        <v/>
      </c>
      <c r="G7" t="str">
        <f>IF(A7="","",IF(F7="",B7,MIN(B7,F7)))</f>
        <v/>
      </c>
      <c r="H7" t="str">
        <f>IF(A7="","",B7-G7)</f>
        <v/>
      </c>
      <c r="I7" t="str">
        <f>IF(A7="","",ROUND(Tenants!J7*Tenants!K7*SUM(Tenants!S7),2))</f>
        <v/>
      </c>
      <c r="J7" t="str">
        <f>IF(A7="","",MAX(0,G7+C7-I7))</f>
        <v/>
      </c>
      <c r="K7" t="str">
        <f>IF(A7="","",MAX(0,D7-ROUND(Tenants!J7*Tenants!K7*SUM(Tenants!T7),2)))</f>
        <v/>
      </c>
      <c r="L7" t="str">
        <f>IF(A7="","",MAX(0,E7-ROUND(Tenants!J7*Tenants!K7*SUM(Tenants!U7),2)))</f>
        <v/>
      </c>
      <c r="M7" t="str">
        <f>IF(A7="","",ROUND(SUM(Tenants!Q7)/100*IF(Tenants!R7="CAM before cap",MAX(0,B7+C7-I7),IF(Tenants!R7="Controllable",G7,IF(Tenants!R7="All",J7+K7+L7,J7))),2))</f>
        <v/>
      </c>
      <c r="N7" t="str">
        <f>IF(A7="","",J7+K7+L7+M7)</f>
        <v/>
      </c>
      <c r="O7" t="str">
        <f>IF(A7="","",SUM(Tenants!H7))</f>
        <v/>
      </c>
      <c r="P7" t="str">
        <f>IF(A7="","",N7-O7)</f>
        <v/>
      </c>
    </row>
    <row r="8">
      <c r="A8" t="str">
        <f>IF(Tenants!A8="","",Tenants!A8)</f>
        <v/>
      </c>
      <c r="B8" t="str">
        <f>IF(A8="","",ROUND(Tenants!J8*Tenants!K8*SUMPRODUCT((Expenses!$B$2:$B$41="CAM")*(Expenses!$H$2:$H$41="Yes")*(Exclusions!H$2:H$41&lt;&gt;"X"),Expenses!$K$2:$K$41),2))</f>
        <v/>
      </c>
      <c r="C8" t="str">
        <f>IF(A8="","",ROUND(Tenants!J8*Tenants!K8*SUMPRODUCT((Expenses!$B$2:$B$41="CAM")*(Expenses!$H$2:$H$41&lt;&gt;"Yes")*(Exclusions!H$2:H$41&lt;&gt;"X"),Expenses!$K$2:$K$41),2))</f>
        <v/>
      </c>
      <c r="D8" t="str">
        <f>IF(A8="","",ROUND(Tenants!J8*Tenants!K8*SUMPRODUCT((Expenses!$B$2:$B$41="Tax")*(Exclusions!H$2:H$41&lt;&gt;"X"),Expenses!$K$2:$K$41),2))</f>
        <v/>
      </c>
      <c r="E8" t="str">
        <f>IF(A8="","",ROUND(Tenants!J8*Tenants!K8*SUMPRODUCT((Expenses!$B$2:$B$41="Insurance")*(Exclusions!H$2:H$41&lt;&gt;"X"),Expenses!$K$2:$K$41),2))</f>
        <v/>
      </c>
      <c r="F8" t="str">
        <f>IF(OR(A8="",Tenants!L8="",Tenants!L8="None"),"",ROUND(IF(LEFT(Tenants!L8,3)="Non",Tenants!N8*(1+Tenants!M8/100),IF(Tenants!L8="Cumulative compounding",Tenants!O8*(1+Tenants!M8/100)^MAX(0,Tenants!P8-1),Tenants!O8*(1+Tenants!M8/100*MAX(0,Tenants!P8-1))))*Tenants!K8,2))</f>
        <v/>
      </c>
      <c r="G8" t="str">
        <f>IF(A8="","",IF(F8="",B8,MIN(B8,F8)))</f>
        <v/>
      </c>
      <c r="H8" t="str">
        <f>IF(A8="","",B8-G8)</f>
        <v/>
      </c>
      <c r="I8" t="str">
        <f>IF(A8="","",ROUND(Tenants!J8*Tenants!K8*SUM(Tenants!S8),2))</f>
        <v/>
      </c>
      <c r="J8" t="str">
        <f>IF(A8="","",MAX(0,G8+C8-I8))</f>
        <v/>
      </c>
      <c r="K8" t="str">
        <f>IF(A8="","",MAX(0,D8-ROUND(Tenants!J8*Tenants!K8*SUM(Tenants!T8),2)))</f>
        <v/>
      </c>
      <c r="L8" t="str">
        <f>IF(A8="","",MAX(0,E8-ROUND(Tenants!J8*Tenants!K8*SUM(Tenants!U8),2)))</f>
        <v/>
      </c>
      <c r="M8" t="str">
        <f>IF(A8="","",ROUND(SUM(Tenants!Q8)/100*IF(Tenants!R8="CAM before cap",MAX(0,B8+C8-I8),IF(Tenants!R8="Controllable",G8,IF(Tenants!R8="All",J8+K8+L8,J8))),2))</f>
        <v/>
      </c>
      <c r="N8" t="str">
        <f>IF(A8="","",J8+K8+L8+M8)</f>
        <v/>
      </c>
      <c r="O8" t="str">
        <f>IF(A8="","",SUM(Tenants!H8))</f>
        <v/>
      </c>
      <c r="P8" t="str">
        <f>IF(A8="","",N8-O8)</f>
        <v/>
      </c>
    </row>
    <row r="9">
      <c r="A9" t="str">
        <f>IF(Tenants!A9="","",Tenants!A9)</f>
        <v/>
      </c>
      <c r="B9" t="str">
        <f>IF(A9="","",ROUND(Tenants!J9*Tenants!K9*SUMPRODUCT((Expenses!$B$2:$B$41="CAM")*(Expenses!$H$2:$H$41="Yes")*(Exclusions!I$2:I$41&lt;&gt;"X"),Expenses!$K$2:$K$41),2))</f>
        <v/>
      </c>
      <c r="C9" t="str">
        <f>IF(A9="","",ROUND(Tenants!J9*Tenants!K9*SUMPRODUCT((Expenses!$B$2:$B$41="CAM")*(Expenses!$H$2:$H$41&lt;&gt;"Yes")*(Exclusions!I$2:I$41&lt;&gt;"X"),Expenses!$K$2:$K$41),2))</f>
        <v/>
      </c>
      <c r="D9" t="str">
        <f>IF(A9="","",ROUND(Tenants!J9*Tenants!K9*SUMPRODUCT((Expenses!$B$2:$B$41="Tax")*(Exclusions!I$2:I$41&lt;&gt;"X"),Expenses!$K$2:$K$41),2))</f>
        <v/>
      </c>
      <c r="E9" t="str">
        <f>IF(A9="","",ROUND(Tenants!J9*Tenants!K9*SUMPRODUCT((Expenses!$B$2:$B$41="Insurance")*(Exclusions!I$2:I$41&lt;&gt;"X"),Expenses!$K$2:$K$41),2))</f>
        <v/>
      </c>
      <c r="F9" t="str">
        <f>IF(OR(A9="",Tenants!L9="",Tenants!L9="None"),"",ROUND(IF(LEFT(Tenants!L9,3)="Non",Tenants!N9*(1+Tenants!M9/100),IF(Tenants!L9="Cumulative compounding",Tenants!O9*(1+Tenants!M9/100)^MAX(0,Tenants!P9-1),Tenants!O9*(1+Tenants!M9/100*MAX(0,Tenants!P9-1))))*Tenants!K9,2))</f>
        <v/>
      </c>
      <c r="G9" t="str">
        <f>IF(A9="","",IF(F9="",B9,MIN(B9,F9)))</f>
        <v/>
      </c>
      <c r="H9" t="str">
        <f>IF(A9="","",B9-G9)</f>
        <v/>
      </c>
      <c r="I9" t="str">
        <f>IF(A9="","",ROUND(Tenants!J9*Tenants!K9*SUM(Tenants!S9),2))</f>
        <v/>
      </c>
      <c r="J9" t="str">
        <f>IF(A9="","",MAX(0,G9+C9-I9))</f>
        <v/>
      </c>
      <c r="K9" t="str">
        <f>IF(A9="","",MAX(0,D9-ROUND(Tenants!J9*Tenants!K9*SUM(Tenants!T9),2)))</f>
        <v/>
      </c>
      <c r="L9" t="str">
        <f>IF(A9="","",MAX(0,E9-ROUND(Tenants!J9*Tenants!K9*SUM(Tenants!U9),2)))</f>
        <v/>
      </c>
      <c r="M9" t="str">
        <f>IF(A9="","",ROUND(SUM(Tenants!Q9)/100*IF(Tenants!R9="CAM before cap",MAX(0,B9+C9-I9),IF(Tenants!R9="Controllable",G9,IF(Tenants!R9="All",J9+K9+L9,J9))),2))</f>
        <v/>
      </c>
      <c r="N9" t="str">
        <f>IF(A9="","",J9+K9+L9+M9)</f>
        <v/>
      </c>
      <c r="O9" t="str">
        <f>IF(A9="","",SUM(Tenants!H9))</f>
        <v/>
      </c>
      <c r="P9" t="str">
        <f>IF(A9="","",N9-O9)</f>
        <v/>
      </c>
    </row>
    <row r="10">
      <c r="A10" t="str">
        <f>IF(Tenants!A10="","",Tenants!A10)</f>
        <v/>
      </c>
      <c r="B10" t="str">
        <f>IF(A10="","",ROUND(Tenants!J10*Tenants!K10*SUMPRODUCT((Expenses!$B$2:$B$41="CAM")*(Expenses!$H$2:$H$41="Yes")*(Exclusions!J$2:J$41&lt;&gt;"X"),Expenses!$K$2:$K$41),2))</f>
        <v/>
      </c>
      <c r="C10" t="str">
        <f>IF(A10="","",ROUND(Tenants!J10*Tenants!K10*SUMPRODUCT((Expenses!$B$2:$B$41="CAM")*(Expenses!$H$2:$H$41&lt;&gt;"Yes")*(Exclusions!J$2:J$41&lt;&gt;"X"),Expenses!$K$2:$K$41),2))</f>
        <v/>
      </c>
      <c r="D10" t="str">
        <f>IF(A10="","",ROUND(Tenants!J10*Tenants!K10*SUMPRODUCT((Expenses!$B$2:$B$41="Tax")*(Exclusions!J$2:J$41&lt;&gt;"X"),Expenses!$K$2:$K$41),2))</f>
        <v/>
      </c>
      <c r="E10" t="str">
        <f>IF(A10="","",ROUND(Tenants!J10*Tenants!K10*SUMPRODUCT((Expenses!$B$2:$B$41="Insurance")*(Exclusions!J$2:J$41&lt;&gt;"X"),Expenses!$K$2:$K$41),2))</f>
        <v/>
      </c>
      <c r="F10" t="str">
        <f>IF(OR(A10="",Tenants!L10="",Tenants!L10="None"),"",ROUND(IF(LEFT(Tenants!L10,3)="Non",Tenants!N10*(1+Tenants!M10/100),IF(Tenants!L10="Cumulative compounding",Tenants!O10*(1+Tenants!M10/100)^MAX(0,Tenants!P10-1),Tenants!O10*(1+Tenants!M10/100*MAX(0,Tenants!P10-1))))*Tenants!K10,2))</f>
        <v/>
      </c>
      <c r="G10" t="str">
        <f>IF(A10="","",IF(F10="",B10,MIN(B10,F10)))</f>
        <v/>
      </c>
      <c r="H10" t="str">
        <f>IF(A10="","",B10-G10)</f>
        <v/>
      </c>
      <c r="I10" t="str">
        <f>IF(A10="","",ROUND(Tenants!J10*Tenants!K10*SUM(Tenants!S10),2))</f>
        <v/>
      </c>
      <c r="J10" t="str">
        <f>IF(A10="","",MAX(0,G10+C10-I10))</f>
        <v/>
      </c>
      <c r="K10" t="str">
        <f>IF(A10="","",MAX(0,D10-ROUND(Tenants!J10*Tenants!K10*SUM(Tenants!T10),2)))</f>
        <v/>
      </c>
      <c r="L10" t="str">
        <f>IF(A10="","",MAX(0,E10-ROUND(Tenants!J10*Tenants!K10*SUM(Tenants!U10),2)))</f>
        <v/>
      </c>
      <c r="M10" t="str">
        <f>IF(A10="","",ROUND(SUM(Tenants!Q10)/100*IF(Tenants!R10="CAM before cap",MAX(0,B10+C10-I10),IF(Tenants!R10="Controllable",G10,IF(Tenants!R10="All",J10+K10+L10,J10))),2))</f>
        <v/>
      </c>
      <c r="N10" t="str">
        <f>IF(A10="","",J10+K10+L10+M10)</f>
        <v/>
      </c>
      <c r="O10" t="str">
        <f>IF(A10="","",SUM(Tenants!H10))</f>
        <v/>
      </c>
      <c r="P10" t="str">
        <f>IF(A10="","",N10-O10)</f>
        <v/>
      </c>
    </row>
    <row r="11">
      <c r="A11" t="str">
        <f>IF(Tenants!A11="","",Tenants!A11)</f>
        <v/>
      </c>
      <c r="B11" t="str">
        <f>IF(A11="","",ROUND(Tenants!J11*Tenants!K11*SUMPRODUCT((Expenses!$B$2:$B$41="CAM")*(Expenses!$H$2:$H$41="Yes")*(Exclusions!K$2:K$41&lt;&gt;"X"),Expenses!$K$2:$K$41),2))</f>
        <v/>
      </c>
      <c r="C11" t="str">
        <f>IF(A11="","",ROUND(Tenants!J11*Tenants!K11*SUMPRODUCT((Expenses!$B$2:$B$41="CAM")*(Expenses!$H$2:$H$41&lt;&gt;"Yes")*(Exclusions!K$2:K$41&lt;&gt;"X"),Expenses!$K$2:$K$41),2))</f>
        <v/>
      </c>
      <c r="D11" t="str">
        <f>IF(A11="","",ROUND(Tenants!J11*Tenants!K11*SUMPRODUCT((Expenses!$B$2:$B$41="Tax")*(Exclusions!K$2:K$41&lt;&gt;"X"),Expenses!$K$2:$K$41),2))</f>
        <v/>
      </c>
      <c r="E11" t="str">
        <f>IF(A11="","",ROUND(Tenants!J11*Tenants!K11*SUMPRODUCT((Expenses!$B$2:$B$41="Insurance")*(Exclusions!K$2:K$41&lt;&gt;"X"),Expenses!$K$2:$K$41),2))</f>
        <v/>
      </c>
      <c r="F11" t="str">
        <f>IF(OR(A11="",Tenants!L11="",Tenants!L11="None"),"",ROUND(IF(LEFT(Tenants!L11,3)="Non",Tenants!N11*(1+Tenants!M11/100),IF(Tenants!L11="Cumulative compounding",Tenants!O11*(1+Tenants!M11/100)^MAX(0,Tenants!P11-1),Tenants!O11*(1+Tenants!M11/100*MAX(0,Tenants!P11-1))))*Tenants!K11,2))</f>
        <v/>
      </c>
      <c r="G11" t="str">
        <f>IF(A11="","",IF(F11="",B11,MIN(B11,F11)))</f>
        <v/>
      </c>
      <c r="H11" t="str">
        <f>IF(A11="","",B11-G11)</f>
        <v/>
      </c>
      <c r="I11" t="str">
        <f>IF(A11="","",ROUND(Tenants!J11*Tenants!K11*SUM(Tenants!S11),2))</f>
        <v/>
      </c>
      <c r="J11" t="str">
        <f>IF(A11="","",MAX(0,G11+C11-I11))</f>
        <v/>
      </c>
      <c r="K11" t="str">
        <f>IF(A11="","",MAX(0,D11-ROUND(Tenants!J11*Tenants!K11*SUM(Tenants!T11),2)))</f>
        <v/>
      </c>
      <c r="L11" t="str">
        <f>IF(A11="","",MAX(0,E11-ROUND(Tenants!J11*Tenants!K11*SUM(Tenants!U11),2)))</f>
        <v/>
      </c>
      <c r="M11" t="str">
        <f>IF(A11="","",ROUND(SUM(Tenants!Q11)/100*IF(Tenants!R11="CAM before cap",MAX(0,B11+C11-I11),IF(Tenants!R11="Controllable",G11,IF(Tenants!R11="All",J11+K11+L11,J11))),2))</f>
        <v/>
      </c>
      <c r="N11" t="str">
        <f>IF(A11="","",J11+K11+L11+M11)</f>
        <v/>
      </c>
      <c r="O11" t="str">
        <f>IF(A11="","",SUM(Tenants!H11))</f>
        <v/>
      </c>
      <c r="P11" t="str">
        <f>IF(A11="","",N11-O11)</f>
        <v/>
      </c>
    </row>
    <row r="12">
      <c r="A12" t="str">
        <f>IF(Tenants!A12="","",Tenants!A12)</f>
        <v/>
      </c>
      <c r="B12" t="str">
        <f>IF(A12="","",ROUND(Tenants!J12*Tenants!K12*SUMPRODUCT((Expenses!$B$2:$B$41="CAM")*(Expenses!$H$2:$H$41="Yes")*(Exclusions!L$2:L$41&lt;&gt;"X"),Expenses!$K$2:$K$41),2))</f>
        <v/>
      </c>
      <c r="C12" t="str">
        <f>IF(A12="","",ROUND(Tenants!J12*Tenants!K12*SUMPRODUCT((Expenses!$B$2:$B$41="CAM")*(Expenses!$H$2:$H$41&lt;&gt;"Yes")*(Exclusions!L$2:L$41&lt;&gt;"X"),Expenses!$K$2:$K$41),2))</f>
        <v/>
      </c>
      <c r="D12" t="str">
        <f>IF(A12="","",ROUND(Tenants!J12*Tenants!K12*SUMPRODUCT((Expenses!$B$2:$B$41="Tax")*(Exclusions!L$2:L$41&lt;&gt;"X"),Expenses!$K$2:$K$41),2))</f>
        <v/>
      </c>
      <c r="E12" t="str">
        <f>IF(A12="","",ROUND(Tenants!J12*Tenants!K12*SUMPRODUCT((Expenses!$B$2:$B$41="Insurance")*(Exclusions!L$2:L$41&lt;&gt;"X"),Expenses!$K$2:$K$41),2))</f>
        <v/>
      </c>
      <c r="F12" t="str">
        <f>IF(OR(A12="",Tenants!L12="",Tenants!L12="None"),"",ROUND(IF(LEFT(Tenants!L12,3)="Non",Tenants!N12*(1+Tenants!M12/100),IF(Tenants!L12="Cumulative compounding",Tenants!O12*(1+Tenants!M12/100)^MAX(0,Tenants!P12-1),Tenants!O12*(1+Tenants!M12/100*MAX(0,Tenants!P12-1))))*Tenants!K12,2))</f>
        <v/>
      </c>
      <c r="G12" t="str">
        <f>IF(A12="","",IF(F12="",B12,MIN(B12,F12)))</f>
        <v/>
      </c>
      <c r="H12" t="str">
        <f>IF(A12="","",B12-G12)</f>
        <v/>
      </c>
      <c r="I12" t="str">
        <f>IF(A12="","",ROUND(Tenants!J12*Tenants!K12*SUM(Tenants!S12),2))</f>
        <v/>
      </c>
      <c r="J12" t="str">
        <f>IF(A12="","",MAX(0,G12+C12-I12))</f>
        <v/>
      </c>
      <c r="K12" t="str">
        <f>IF(A12="","",MAX(0,D12-ROUND(Tenants!J12*Tenants!K12*SUM(Tenants!T12),2)))</f>
        <v/>
      </c>
      <c r="L12" t="str">
        <f>IF(A12="","",MAX(0,E12-ROUND(Tenants!J12*Tenants!K12*SUM(Tenants!U12),2)))</f>
        <v/>
      </c>
      <c r="M12" t="str">
        <f>IF(A12="","",ROUND(SUM(Tenants!Q12)/100*IF(Tenants!R12="CAM before cap",MAX(0,B12+C12-I12),IF(Tenants!R12="Controllable",G12,IF(Tenants!R12="All",J12+K12+L12,J12))),2))</f>
        <v/>
      </c>
      <c r="N12" t="str">
        <f>IF(A12="","",J12+K12+L12+M12)</f>
        <v/>
      </c>
      <c r="O12" t="str">
        <f>IF(A12="","",SUM(Tenants!H12))</f>
        <v/>
      </c>
      <c r="P12" t="str">
        <f>IF(A12="","",N12-O12)</f>
        <v/>
      </c>
    </row>
    <row r="13">
      <c r="A13" t="str">
        <f>IF(Tenants!A13="","",Tenants!A13)</f>
        <v/>
      </c>
      <c r="B13" t="str">
        <f>IF(A13="","",ROUND(Tenants!J13*Tenants!K13*SUMPRODUCT((Expenses!$B$2:$B$41="CAM")*(Expenses!$H$2:$H$41="Yes")*(Exclusions!M$2:M$41&lt;&gt;"X"),Expenses!$K$2:$K$41),2))</f>
        <v/>
      </c>
      <c r="C13" t="str">
        <f>IF(A13="","",ROUND(Tenants!J13*Tenants!K13*SUMPRODUCT((Expenses!$B$2:$B$41="CAM")*(Expenses!$H$2:$H$41&lt;&gt;"Yes")*(Exclusions!M$2:M$41&lt;&gt;"X"),Expenses!$K$2:$K$41),2))</f>
        <v/>
      </c>
      <c r="D13" t="str">
        <f>IF(A13="","",ROUND(Tenants!J13*Tenants!K13*SUMPRODUCT((Expenses!$B$2:$B$41="Tax")*(Exclusions!M$2:M$41&lt;&gt;"X"),Expenses!$K$2:$K$41),2))</f>
        <v/>
      </c>
      <c r="E13" t="str">
        <f>IF(A13="","",ROUND(Tenants!J13*Tenants!K13*SUMPRODUCT((Expenses!$B$2:$B$41="Insurance")*(Exclusions!M$2:M$41&lt;&gt;"X"),Expenses!$K$2:$K$41),2))</f>
        <v/>
      </c>
      <c r="F13" t="str">
        <f>IF(OR(A13="",Tenants!L13="",Tenants!L13="None"),"",ROUND(IF(LEFT(Tenants!L13,3)="Non",Tenants!N13*(1+Tenants!M13/100),IF(Tenants!L13="Cumulative compounding",Tenants!O13*(1+Tenants!M13/100)^MAX(0,Tenants!P13-1),Tenants!O13*(1+Tenants!M13/100*MAX(0,Tenants!P13-1))))*Tenants!K13,2))</f>
        <v/>
      </c>
      <c r="G13" t="str">
        <f>IF(A13="","",IF(F13="",B13,MIN(B13,F13)))</f>
        <v/>
      </c>
      <c r="H13" t="str">
        <f>IF(A13="","",B13-G13)</f>
        <v/>
      </c>
      <c r="I13" t="str">
        <f>IF(A13="","",ROUND(Tenants!J13*Tenants!K13*SUM(Tenants!S13),2))</f>
        <v/>
      </c>
      <c r="J13" t="str">
        <f>IF(A13="","",MAX(0,G13+C13-I13))</f>
        <v/>
      </c>
      <c r="K13" t="str">
        <f>IF(A13="","",MAX(0,D13-ROUND(Tenants!J13*Tenants!K13*SUM(Tenants!T13),2)))</f>
        <v/>
      </c>
      <c r="L13" t="str">
        <f>IF(A13="","",MAX(0,E13-ROUND(Tenants!J13*Tenants!K13*SUM(Tenants!U13),2)))</f>
        <v/>
      </c>
      <c r="M13" t="str">
        <f>IF(A13="","",ROUND(SUM(Tenants!Q13)/100*IF(Tenants!R13="CAM before cap",MAX(0,B13+C13-I13),IF(Tenants!R13="Controllable",G13,IF(Tenants!R13="All",J13+K13+L13,J13))),2))</f>
        <v/>
      </c>
      <c r="N13" t="str">
        <f>IF(A13="","",J13+K13+L13+M13)</f>
        <v/>
      </c>
      <c r="O13" t="str">
        <f>IF(A13="","",SUM(Tenants!H13))</f>
        <v/>
      </c>
      <c r="P13" t="str">
        <f>IF(A13="","",N13-O13)</f>
        <v/>
      </c>
    </row>
    <row r="14">
      <c r="A14" t="str">
        <f>IF(Tenants!A14="","",Tenants!A14)</f>
        <v/>
      </c>
      <c r="B14" t="str">
        <f>IF(A14="","",ROUND(Tenants!J14*Tenants!K14*SUMPRODUCT((Expenses!$B$2:$B$41="CAM")*(Expenses!$H$2:$H$41="Yes")*(Exclusions!N$2:N$41&lt;&gt;"X"),Expenses!$K$2:$K$41),2))</f>
        <v/>
      </c>
      <c r="C14" t="str">
        <f>IF(A14="","",ROUND(Tenants!J14*Tenants!K14*SUMPRODUCT((Expenses!$B$2:$B$41="CAM")*(Expenses!$H$2:$H$41&lt;&gt;"Yes")*(Exclusions!N$2:N$41&lt;&gt;"X"),Expenses!$K$2:$K$41),2))</f>
        <v/>
      </c>
      <c r="D14" t="str">
        <f>IF(A14="","",ROUND(Tenants!J14*Tenants!K14*SUMPRODUCT((Expenses!$B$2:$B$41="Tax")*(Exclusions!N$2:N$41&lt;&gt;"X"),Expenses!$K$2:$K$41),2))</f>
        <v/>
      </c>
      <c r="E14" t="str">
        <f>IF(A14="","",ROUND(Tenants!J14*Tenants!K14*SUMPRODUCT((Expenses!$B$2:$B$41="Insurance")*(Exclusions!N$2:N$41&lt;&gt;"X"),Expenses!$K$2:$K$41),2))</f>
        <v/>
      </c>
      <c r="F14" t="str">
        <f>IF(OR(A14="",Tenants!L14="",Tenants!L14="None"),"",ROUND(IF(LEFT(Tenants!L14,3)="Non",Tenants!N14*(1+Tenants!M14/100),IF(Tenants!L14="Cumulative compounding",Tenants!O14*(1+Tenants!M14/100)^MAX(0,Tenants!P14-1),Tenants!O14*(1+Tenants!M14/100*MAX(0,Tenants!P14-1))))*Tenants!K14,2))</f>
        <v/>
      </c>
      <c r="G14" t="str">
        <f>IF(A14="","",IF(F14="",B14,MIN(B14,F14)))</f>
        <v/>
      </c>
      <c r="H14" t="str">
        <f>IF(A14="","",B14-G14)</f>
        <v/>
      </c>
      <c r="I14" t="str">
        <f>IF(A14="","",ROUND(Tenants!J14*Tenants!K14*SUM(Tenants!S14),2))</f>
        <v/>
      </c>
      <c r="J14" t="str">
        <f>IF(A14="","",MAX(0,G14+C14-I14))</f>
        <v/>
      </c>
      <c r="K14" t="str">
        <f>IF(A14="","",MAX(0,D14-ROUND(Tenants!J14*Tenants!K14*SUM(Tenants!T14),2)))</f>
        <v/>
      </c>
      <c r="L14" t="str">
        <f>IF(A14="","",MAX(0,E14-ROUND(Tenants!J14*Tenants!K14*SUM(Tenants!U14),2)))</f>
        <v/>
      </c>
      <c r="M14" t="str">
        <f>IF(A14="","",ROUND(SUM(Tenants!Q14)/100*IF(Tenants!R14="CAM before cap",MAX(0,B14+C14-I14),IF(Tenants!R14="Controllable",G14,IF(Tenants!R14="All",J14+K14+L14,J14))),2))</f>
        <v/>
      </c>
      <c r="N14" t="str">
        <f>IF(A14="","",J14+K14+L14+M14)</f>
        <v/>
      </c>
      <c r="O14" t="str">
        <f>IF(A14="","",SUM(Tenants!H14))</f>
        <v/>
      </c>
      <c r="P14" t="str">
        <f>IF(A14="","",N14-O14)</f>
        <v/>
      </c>
    </row>
    <row r="15">
      <c r="A15" t="str">
        <f>IF(Tenants!A15="","",Tenants!A15)</f>
        <v/>
      </c>
      <c r="B15" t="str">
        <f>IF(A15="","",ROUND(Tenants!J15*Tenants!K15*SUMPRODUCT((Expenses!$B$2:$B$41="CAM")*(Expenses!$H$2:$H$41="Yes")*(Exclusions!O$2:O$41&lt;&gt;"X"),Expenses!$K$2:$K$41),2))</f>
        <v/>
      </c>
      <c r="C15" t="str">
        <f>IF(A15="","",ROUND(Tenants!J15*Tenants!K15*SUMPRODUCT((Expenses!$B$2:$B$41="CAM")*(Expenses!$H$2:$H$41&lt;&gt;"Yes")*(Exclusions!O$2:O$41&lt;&gt;"X"),Expenses!$K$2:$K$41),2))</f>
        <v/>
      </c>
      <c r="D15" t="str">
        <f>IF(A15="","",ROUND(Tenants!J15*Tenants!K15*SUMPRODUCT((Expenses!$B$2:$B$41="Tax")*(Exclusions!O$2:O$41&lt;&gt;"X"),Expenses!$K$2:$K$41),2))</f>
        <v/>
      </c>
      <c r="E15" t="str">
        <f>IF(A15="","",ROUND(Tenants!J15*Tenants!K15*SUMPRODUCT((Expenses!$B$2:$B$41="Insurance")*(Exclusions!O$2:O$41&lt;&gt;"X"),Expenses!$K$2:$K$41),2))</f>
        <v/>
      </c>
      <c r="F15" t="str">
        <f>IF(OR(A15="",Tenants!L15="",Tenants!L15="None"),"",ROUND(IF(LEFT(Tenants!L15,3)="Non",Tenants!N15*(1+Tenants!M15/100),IF(Tenants!L15="Cumulative compounding",Tenants!O15*(1+Tenants!M15/100)^MAX(0,Tenants!P15-1),Tenants!O15*(1+Tenants!M15/100*MAX(0,Tenants!P15-1))))*Tenants!K15,2))</f>
        <v/>
      </c>
      <c r="G15" t="str">
        <f>IF(A15="","",IF(F15="",B15,MIN(B15,F15)))</f>
        <v/>
      </c>
      <c r="H15" t="str">
        <f>IF(A15="","",B15-G15)</f>
        <v/>
      </c>
      <c r="I15" t="str">
        <f>IF(A15="","",ROUND(Tenants!J15*Tenants!K15*SUM(Tenants!S15),2))</f>
        <v/>
      </c>
      <c r="J15" t="str">
        <f>IF(A15="","",MAX(0,G15+C15-I15))</f>
        <v/>
      </c>
      <c r="K15" t="str">
        <f>IF(A15="","",MAX(0,D15-ROUND(Tenants!J15*Tenants!K15*SUM(Tenants!T15),2)))</f>
        <v/>
      </c>
      <c r="L15" t="str">
        <f>IF(A15="","",MAX(0,E15-ROUND(Tenants!J15*Tenants!K15*SUM(Tenants!U15),2)))</f>
        <v/>
      </c>
      <c r="M15" t="str">
        <f>IF(A15="","",ROUND(SUM(Tenants!Q15)/100*IF(Tenants!R15="CAM before cap",MAX(0,B15+C15-I15),IF(Tenants!R15="Controllable",G15,IF(Tenants!R15="All",J15+K15+L15,J15))),2))</f>
        <v/>
      </c>
      <c r="N15" t="str">
        <f>IF(A15="","",J15+K15+L15+M15)</f>
        <v/>
      </c>
      <c r="O15" t="str">
        <f>IF(A15="","",SUM(Tenants!H15))</f>
        <v/>
      </c>
      <c r="P15" t="str">
        <f>IF(A15="","",N15-O15)</f>
        <v/>
      </c>
    </row>
    <row r="16">
      <c r="A16" t="str">
        <f>IF(Tenants!A16="","",Tenants!A16)</f>
        <v/>
      </c>
      <c r="B16" t="str">
        <f>IF(A16="","",ROUND(Tenants!J16*Tenants!K16*SUMPRODUCT((Expenses!$B$2:$B$41="CAM")*(Expenses!$H$2:$H$41="Yes")*(Exclusions!P$2:P$41&lt;&gt;"X"),Expenses!$K$2:$K$41),2))</f>
        <v/>
      </c>
      <c r="C16" t="str">
        <f>IF(A16="","",ROUND(Tenants!J16*Tenants!K16*SUMPRODUCT((Expenses!$B$2:$B$41="CAM")*(Expenses!$H$2:$H$41&lt;&gt;"Yes")*(Exclusions!P$2:P$41&lt;&gt;"X"),Expenses!$K$2:$K$41),2))</f>
        <v/>
      </c>
      <c r="D16" t="str">
        <f>IF(A16="","",ROUND(Tenants!J16*Tenants!K16*SUMPRODUCT((Expenses!$B$2:$B$41="Tax")*(Exclusions!P$2:P$41&lt;&gt;"X"),Expenses!$K$2:$K$41),2))</f>
        <v/>
      </c>
      <c r="E16" t="str">
        <f>IF(A16="","",ROUND(Tenants!J16*Tenants!K16*SUMPRODUCT((Expenses!$B$2:$B$41="Insurance")*(Exclusions!P$2:P$41&lt;&gt;"X"),Expenses!$K$2:$K$41),2))</f>
        <v/>
      </c>
      <c r="F16" t="str">
        <f>IF(OR(A16="",Tenants!L16="",Tenants!L16="None"),"",ROUND(IF(LEFT(Tenants!L16,3)="Non",Tenants!N16*(1+Tenants!M16/100),IF(Tenants!L16="Cumulative compounding",Tenants!O16*(1+Tenants!M16/100)^MAX(0,Tenants!P16-1),Tenants!O16*(1+Tenants!M16/100*MAX(0,Tenants!P16-1))))*Tenants!K16,2))</f>
        <v/>
      </c>
      <c r="G16" t="str">
        <f>IF(A16="","",IF(F16="",B16,MIN(B16,F16)))</f>
        <v/>
      </c>
      <c r="H16" t="str">
        <f>IF(A16="","",B16-G16)</f>
        <v/>
      </c>
      <c r="I16" t="str">
        <f>IF(A16="","",ROUND(Tenants!J16*Tenants!K16*SUM(Tenants!S16),2))</f>
        <v/>
      </c>
      <c r="J16" t="str">
        <f>IF(A16="","",MAX(0,G16+C16-I16))</f>
        <v/>
      </c>
      <c r="K16" t="str">
        <f>IF(A16="","",MAX(0,D16-ROUND(Tenants!J16*Tenants!K16*SUM(Tenants!T16),2)))</f>
        <v/>
      </c>
      <c r="L16" t="str">
        <f>IF(A16="","",MAX(0,E16-ROUND(Tenants!J16*Tenants!K16*SUM(Tenants!U16),2)))</f>
        <v/>
      </c>
      <c r="M16" t="str">
        <f>IF(A16="","",ROUND(SUM(Tenants!Q16)/100*IF(Tenants!R16="CAM before cap",MAX(0,B16+C16-I16),IF(Tenants!R16="Controllable",G16,IF(Tenants!R16="All",J16+K16+L16,J16))),2))</f>
        <v/>
      </c>
      <c r="N16" t="str">
        <f>IF(A16="","",J16+K16+L16+M16)</f>
        <v/>
      </c>
      <c r="O16" t="str">
        <f>IF(A16="","",SUM(Tenants!H16))</f>
        <v/>
      </c>
      <c r="P16" t="str">
        <f>IF(A16="","",N16-O16)</f>
        <v/>
      </c>
    </row>
    <row r="17">
      <c r="A17" t="str">
        <f>IF(Tenants!A17="","",Tenants!A17)</f>
        <v/>
      </c>
      <c r="B17" t="str">
        <f>IF(A17="","",ROUND(Tenants!J17*Tenants!K17*SUMPRODUCT((Expenses!$B$2:$B$41="CAM")*(Expenses!$H$2:$H$41="Yes")*(Exclusions!Q$2:Q$41&lt;&gt;"X"),Expenses!$K$2:$K$41),2))</f>
        <v/>
      </c>
      <c r="C17" t="str">
        <f>IF(A17="","",ROUND(Tenants!J17*Tenants!K17*SUMPRODUCT((Expenses!$B$2:$B$41="CAM")*(Expenses!$H$2:$H$41&lt;&gt;"Yes")*(Exclusions!Q$2:Q$41&lt;&gt;"X"),Expenses!$K$2:$K$41),2))</f>
        <v/>
      </c>
      <c r="D17" t="str">
        <f>IF(A17="","",ROUND(Tenants!J17*Tenants!K17*SUMPRODUCT((Expenses!$B$2:$B$41="Tax")*(Exclusions!Q$2:Q$41&lt;&gt;"X"),Expenses!$K$2:$K$41),2))</f>
        <v/>
      </c>
      <c r="E17" t="str">
        <f>IF(A17="","",ROUND(Tenants!J17*Tenants!K17*SUMPRODUCT((Expenses!$B$2:$B$41="Insurance")*(Exclusions!Q$2:Q$41&lt;&gt;"X"),Expenses!$K$2:$K$41),2))</f>
        <v/>
      </c>
      <c r="F17" t="str">
        <f>IF(OR(A17="",Tenants!L17="",Tenants!L17="None"),"",ROUND(IF(LEFT(Tenants!L17,3)="Non",Tenants!N17*(1+Tenants!M17/100),IF(Tenants!L17="Cumulative compounding",Tenants!O17*(1+Tenants!M17/100)^MAX(0,Tenants!P17-1),Tenants!O17*(1+Tenants!M17/100*MAX(0,Tenants!P17-1))))*Tenants!K17,2))</f>
        <v/>
      </c>
      <c r="G17" t="str">
        <f>IF(A17="","",IF(F17="",B17,MIN(B17,F17)))</f>
        <v/>
      </c>
      <c r="H17" t="str">
        <f>IF(A17="","",B17-G17)</f>
        <v/>
      </c>
      <c r="I17" t="str">
        <f>IF(A17="","",ROUND(Tenants!J17*Tenants!K17*SUM(Tenants!S17),2))</f>
        <v/>
      </c>
      <c r="J17" t="str">
        <f>IF(A17="","",MAX(0,G17+C17-I17))</f>
        <v/>
      </c>
      <c r="K17" t="str">
        <f>IF(A17="","",MAX(0,D17-ROUND(Tenants!J17*Tenants!K17*SUM(Tenants!T17),2)))</f>
        <v/>
      </c>
      <c r="L17" t="str">
        <f>IF(A17="","",MAX(0,E17-ROUND(Tenants!J17*Tenants!K17*SUM(Tenants!U17),2)))</f>
        <v/>
      </c>
      <c r="M17" t="str">
        <f>IF(A17="","",ROUND(SUM(Tenants!Q17)/100*IF(Tenants!R17="CAM before cap",MAX(0,B17+C17-I17),IF(Tenants!R17="Controllable",G17,IF(Tenants!R17="All",J17+K17+L17,J17))),2))</f>
        <v/>
      </c>
      <c r="N17" t="str">
        <f>IF(A17="","",J17+K17+L17+M17)</f>
        <v/>
      </c>
      <c r="O17" t="str">
        <f>IF(A17="","",SUM(Tenants!H17))</f>
        <v/>
      </c>
      <c r="P17" t="str">
        <f>IF(A17="","",N17-O17)</f>
        <v/>
      </c>
    </row>
    <row r="18">
      <c r="A18" t="str">
        <f>IF(Tenants!A18="","",Tenants!A18)</f>
        <v/>
      </c>
      <c r="B18" t="str">
        <f>IF(A18="","",ROUND(Tenants!J18*Tenants!K18*SUMPRODUCT((Expenses!$B$2:$B$41="CAM")*(Expenses!$H$2:$H$41="Yes")*(Exclusions!R$2:R$41&lt;&gt;"X"),Expenses!$K$2:$K$41),2))</f>
        <v/>
      </c>
      <c r="C18" t="str">
        <f>IF(A18="","",ROUND(Tenants!J18*Tenants!K18*SUMPRODUCT((Expenses!$B$2:$B$41="CAM")*(Expenses!$H$2:$H$41&lt;&gt;"Yes")*(Exclusions!R$2:R$41&lt;&gt;"X"),Expenses!$K$2:$K$41),2))</f>
        <v/>
      </c>
      <c r="D18" t="str">
        <f>IF(A18="","",ROUND(Tenants!J18*Tenants!K18*SUMPRODUCT((Expenses!$B$2:$B$41="Tax")*(Exclusions!R$2:R$41&lt;&gt;"X"),Expenses!$K$2:$K$41),2))</f>
        <v/>
      </c>
      <c r="E18" t="str">
        <f>IF(A18="","",ROUND(Tenants!J18*Tenants!K18*SUMPRODUCT((Expenses!$B$2:$B$41="Insurance")*(Exclusions!R$2:R$41&lt;&gt;"X"),Expenses!$K$2:$K$41),2))</f>
        <v/>
      </c>
      <c r="F18" t="str">
        <f>IF(OR(A18="",Tenants!L18="",Tenants!L18="None"),"",ROUND(IF(LEFT(Tenants!L18,3)="Non",Tenants!N18*(1+Tenants!M18/100),IF(Tenants!L18="Cumulative compounding",Tenants!O18*(1+Tenants!M18/100)^MAX(0,Tenants!P18-1),Tenants!O18*(1+Tenants!M18/100*MAX(0,Tenants!P18-1))))*Tenants!K18,2))</f>
        <v/>
      </c>
      <c r="G18" t="str">
        <f>IF(A18="","",IF(F18="",B18,MIN(B18,F18)))</f>
        <v/>
      </c>
      <c r="H18" t="str">
        <f>IF(A18="","",B18-G18)</f>
        <v/>
      </c>
      <c r="I18" t="str">
        <f>IF(A18="","",ROUND(Tenants!J18*Tenants!K18*SUM(Tenants!S18),2))</f>
        <v/>
      </c>
      <c r="J18" t="str">
        <f>IF(A18="","",MAX(0,G18+C18-I18))</f>
        <v/>
      </c>
      <c r="K18" t="str">
        <f>IF(A18="","",MAX(0,D18-ROUND(Tenants!J18*Tenants!K18*SUM(Tenants!T18),2)))</f>
        <v/>
      </c>
      <c r="L18" t="str">
        <f>IF(A18="","",MAX(0,E18-ROUND(Tenants!J18*Tenants!K18*SUM(Tenants!U18),2)))</f>
        <v/>
      </c>
      <c r="M18" t="str">
        <f>IF(A18="","",ROUND(SUM(Tenants!Q18)/100*IF(Tenants!R18="CAM before cap",MAX(0,B18+C18-I18),IF(Tenants!R18="Controllable",G18,IF(Tenants!R18="All",J18+K18+L18,J18))),2))</f>
        <v/>
      </c>
      <c r="N18" t="str">
        <f>IF(A18="","",J18+K18+L18+M18)</f>
        <v/>
      </c>
      <c r="O18" t="str">
        <f>IF(A18="","",SUM(Tenants!H18))</f>
        <v/>
      </c>
      <c r="P18" t="str">
        <f>IF(A18="","",N18-O18)</f>
        <v/>
      </c>
    </row>
    <row r="19">
      <c r="A19" t="str">
        <f>IF(Tenants!A19="","",Tenants!A19)</f>
        <v/>
      </c>
      <c r="B19" t="str">
        <f>IF(A19="","",ROUND(Tenants!J19*Tenants!K19*SUMPRODUCT((Expenses!$B$2:$B$41="CAM")*(Expenses!$H$2:$H$41="Yes")*(Exclusions!S$2:S$41&lt;&gt;"X"),Expenses!$K$2:$K$41),2))</f>
        <v/>
      </c>
      <c r="C19" t="str">
        <f>IF(A19="","",ROUND(Tenants!J19*Tenants!K19*SUMPRODUCT((Expenses!$B$2:$B$41="CAM")*(Expenses!$H$2:$H$41&lt;&gt;"Yes")*(Exclusions!S$2:S$41&lt;&gt;"X"),Expenses!$K$2:$K$41),2))</f>
        <v/>
      </c>
      <c r="D19" t="str">
        <f>IF(A19="","",ROUND(Tenants!J19*Tenants!K19*SUMPRODUCT((Expenses!$B$2:$B$41="Tax")*(Exclusions!S$2:S$41&lt;&gt;"X"),Expenses!$K$2:$K$41),2))</f>
        <v/>
      </c>
      <c r="E19" t="str">
        <f>IF(A19="","",ROUND(Tenants!J19*Tenants!K19*SUMPRODUCT((Expenses!$B$2:$B$41="Insurance")*(Exclusions!S$2:S$41&lt;&gt;"X"),Expenses!$K$2:$K$41),2))</f>
        <v/>
      </c>
      <c r="F19" t="str">
        <f>IF(OR(A19="",Tenants!L19="",Tenants!L19="None"),"",ROUND(IF(LEFT(Tenants!L19,3)="Non",Tenants!N19*(1+Tenants!M19/100),IF(Tenants!L19="Cumulative compounding",Tenants!O19*(1+Tenants!M19/100)^MAX(0,Tenants!P19-1),Tenants!O19*(1+Tenants!M19/100*MAX(0,Tenants!P19-1))))*Tenants!K19,2))</f>
        <v/>
      </c>
      <c r="G19" t="str">
        <f>IF(A19="","",IF(F19="",B19,MIN(B19,F19)))</f>
        <v/>
      </c>
      <c r="H19" t="str">
        <f>IF(A19="","",B19-G19)</f>
        <v/>
      </c>
      <c r="I19" t="str">
        <f>IF(A19="","",ROUND(Tenants!J19*Tenants!K19*SUM(Tenants!S19),2))</f>
        <v/>
      </c>
      <c r="J19" t="str">
        <f>IF(A19="","",MAX(0,G19+C19-I19))</f>
        <v/>
      </c>
      <c r="K19" t="str">
        <f>IF(A19="","",MAX(0,D19-ROUND(Tenants!J19*Tenants!K19*SUM(Tenants!T19),2)))</f>
        <v/>
      </c>
      <c r="L19" t="str">
        <f>IF(A19="","",MAX(0,E19-ROUND(Tenants!J19*Tenants!K19*SUM(Tenants!U19),2)))</f>
        <v/>
      </c>
      <c r="M19" t="str">
        <f>IF(A19="","",ROUND(SUM(Tenants!Q19)/100*IF(Tenants!R19="CAM before cap",MAX(0,B19+C19-I19),IF(Tenants!R19="Controllable",G19,IF(Tenants!R19="All",J19+K19+L19,J19))),2))</f>
        <v/>
      </c>
      <c r="N19" t="str">
        <f>IF(A19="","",J19+K19+L19+M19)</f>
        <v/>
      </c>
      <c r="O19" t="str">
        <f>IF(A19="","",SUM(Tenants!H19))</f>
        <v/>
      </c>
      <c r="P19" t="str">
        <f>IF(A19="","",N19-O19)</f>
        <v/>
      </c>
    </row>
    <row r="20">
      <c r="A20" t="str">
        <f>IF(Tenants!A20="","",Tenants!A20)</f>
        <v/>
      </c>
      <c r="B20" t="str">
        <f>IF(A20="","",ROUND(Tenants!J20*Tenants!K20*SUMPRODUCT((Expenses!$B$2:$B$41="CAM")*(Expenses!$H$2:$H$41="Yes")*(Exclusions!T$2:T$41&lt;&gt;"X"),Expenses!$K$2:$K$41),2))</f>
        <v/>
      </c>
      <c r="C20" t="str">
        <f>IF(A20="","",ROUND(Tenants!J20*Tenants!K20*SUMPRODUCT((Expenses!$B$2:$B$41="CAM")*(Expenses!$H$2:$H$41&lt;&gt;"Yes")*(Exclusions!T$2:T$41&lt;&gt;"X"),Expenses!$K$2:$K$41),2))</f>
        <v/>
      </c>
      <c r="D20" t="str">
        <f>IF(A20="","",ROUND(Tenants!J20*Tenants!K20*SUMPRODUCT((Expenses!$B$2:$B$41="Tax")*(Exclusions!T$2:T$41&lt;&gt;"X"),Expenses!$K$2:$K$41),2))</f>
        <v/>
      </c>
      <c r="E20" t="str">
        <f>IF(A20="","",ROUND(Tenants!J20*Tenants!K20*SUMPRODUCT((Expenses!$B$2:$B$41="Insurance")*(Exclusions!T$2:T$41&lt;&gt;"X"),Expenses!$K$2:$K$41),2))</f>
        <v/>
      </c>
      <c r="F20" t="str">
        <f>IF(OR(A20="",Tenants!L20="",Tenants!L20="None"),"",ROUND(IF(LEFT(Tenants!L20,3)="Non",Tenants!N20*(1+Tenants!M20/100),IF(Tenants!L20="Cumulative compounding",Tenants!O20*(1+Tenants!M20/100)^MAX(0,Tenants!P20-1),Tenants!O20*(1+Tenants!M20/100*MAX(0,Tenants!P20-1))))*Tenants!K20,2))</f>
        <v/>
      </c>
      <c r="G20" t="str">
        <f>IF(A20="","",IF(F20="",B20,MIN(B20,F20)))</f>
        <v/>
      </c>
      <c r="H20" t="str">
        <f>IF(A20="","",B20-G20)</f>
        <v/>
      </c>
      <c r="I20" t="str">
        <f>IF(A20="","",ROUND(Tenants!J20*Tenants!K20*SUM(Tenants!S20),2))</f>
        <v/>
      </c>
      <c r="J20" t="str">
        <f>IF(A20="","",MAX(0,G20+C20-I20))</f>
        <v/>
      </c>
      <c r="K20" t="str">
        <f>IF(A20="","",MAX(0,D20-ROUND(Tenants!J20*Tenants!K20*SUM(Tenants!T20),2)))</f>
        <v/>
      </c>
      <c r="L20" t="str">
        <f>IF(A20="","",MAX(0,E20-ROUND(Tenants!J20*Tenants!K20*SUM(Tenants!U20),2)))</f>
        <v/>
      </c>
      <c r="M20" t="str">
        <f>IF(A20="","",ROUND(SUM(Tenants!Q20)/100*IF(Tenants!R20="CAM before cap",MAX(0,B20+C20-I20),IF(Tenants!R20="Controllable",G20,IF(Tenants!R20="All",J20+K20+L20,J20))),2))</f>
        <v/>
      </c>
      <c r="N20" t="str">
        <f>IF(A20="","",J20+K20+L20+M20)</f>
        <v/>
      </c>
      <c r="O20" t="str">
        <f>IF(A20="","",SUM(Tenants!H20))</f>
        <v/>
      </c>
      <c r="P20" t="str">
        <f>IF(A20="","",N20-O20)</f>
        <v/>
      </c>
    </row>
    <row r="21">
      <c r="A21" t="str">
        <f>IF(Tenants!A21="","",Tenants!A21)</f>
        <v/>
      </c>
      <c r="B21" t="str">
        <f>IF(A21="","",ROUND(Tenants!J21*Tenants!K21*SUMPRODUCT((Expenses!$B$2:$B$41="CAM")*(Expenses!$H$2:$H$41="Yes")*(Exclusions!U$2:U$41&lt;&gt;"X"),Expenses!$K$2:$K$41),2))</f>
        <v/>
      </c>
      <c r="C21" t="str">
        <f>IF(A21="","",ROUND(Tenants!J21*Tenants!K21*SUMPRODUCT((Expenses!$B$2:$B$41="CAM")*(Expenses!$H$2:$H$41&lt;&gt;"Yes")*(Exclusions!U$2:U$41&lt;&gt;"X"),Expenses!$K$2:$K$41),2))</f>
        <v/>
      </c>
      <c r="D21" t="str">
        <f>IF(A21="","",ROUND(Tenants!J21*Tenants!K21*SUMPRODUCT((Expenses!$B$2:$B$41="Tax")*(Exclusions!U$2:U$41&lt;&gt;"X"),Expenses!$K$2:$K$41),2))</f>
        <v/>
      </c>
      <c r="E21" t="str">
        <f>IF(A21="","",ROUND(Tenants!J21*Tenants!K21*SUMPRODUCT((Expenses!$B$2:$B$41="Insurance")*(Exclusions!U$2:U$41&lt;&gt;"X"),Expenses!$K$2:$K$41),2))</f>
        <v/>
      </c>
      <c r="F21" t="str">
        <f>IF(OR(A21="",Tenants!L21="",Tenants!L21="None"),"",ROUND(IF(LEFT(Tenants!L21,3)="Non",Tenants!N21*(1+Tenants!M21/100),IF(Tenants!L21="Cumulative compounding",Tenants!O21*(1+Tenants!M21/100)^MAX(0,Tenants!P21-1),Tenants!O21*(1+Tenants!M21/100*MAX(0,Tenants!P21-1))))*Tenants!K21,2))</f>
        <v/>
      </c>
      <c r="G21" t="str">
        <f>IF(A21="","",IF(F21="",B21,MIN(B21,F21)))</f>
        <v/>
      </c>
      <c r="H21" t="str">
        <f>IF(A21="","",B21-G21)</f>
        <v/>
      </c>
      <c r="I21" t="str">
        <f>IF(A21="","",ROUND(Tenants!J21*Tenants!K21*SUM(Tenants!S21),2))</f>
        <v/>
      </c>
      <c r="J21" t="str">
        <f>IF(A21="","",MAX(0,G21+C21-I21))</f>
        <v/>
      </c>
      <c r="K21" t="str">
        <f>IF(A21="","",MAX(0,D21-ROUND(Tenants!J21*Tenants!K21*SUM(Tenants!T21),2)))</f>
        <v/>
      </c>
      <c r="L21" t="str">
        <f>IF(A21="","",MAX(0,E21-ROUND(Tenants!J21*Tenants!K21*SUM(Tenants!U21),2)))</f>
        <v/>
      </c>
      <c r="M21" t="str">
        <f>IF(A21="","",ROUND(SUM(Tenants!Q21)/100*IF(Tenants!R21="CAM before cap",MAX(0,B21+C21-I21),IF(Tenants!R21="Controllable",G21,IF(Tenants!R21="All",J21+K21+L21,J21))),2))</f>
        <v/>
      </c>
      <c r="N21" t="str">
        <f>IF(A21="","",J21+K21+L21+M21)</f>
        <v/>
      </c>
      <c r="O21" t="str">
        <f>IF(A21="","",SUM(Tenants!H21))</f>
        <v/>
      </c>
      <c r="P21" t="str">
        <f>IF(A21="","",N21-O21)</f>
        <v/>
      </c>
    </row>
    <row r="22"/>
    <row r="23">
      <c r="A23" t="s">
        <v>97</v>
      </c>
      <c r="B23">
        <f>SUM(B2:B21)</f>
        <v>27928.76</v>
      </c>
      <c r="C23">
        <f>SUM(C2:C21)</f>
        <v>3800</v>
      </c>
      <c r="D23">
        <f>SUM(D2:D21)</f>
        <v>29041.1</v>
      </c>
      <c r="E23">
        <f>SUM(E2:E21)</f>
        <v>10164.38</v>
      </c>
      <c r="G23">
        <f>SUM(G2:G21)</f>
        <v>26544.8</v>
      </c>
      <c r="H23">
        <f>SUM(H2:H21)</f>
        <v>1383.96</v>
      </c>
      <c r="I23">
        <f>SUM(I2:I21)</f>
        <v>0</v>
      </c>
      <c r="J23">
        <f>SUM(J2:J21)</f>
        <v>30344.8</v>
      </c>
      <c r="K23">
        <f>SUM(K2:K21)</f>
        <v>29041.1</v>
      </c>
      <c r="L23">
        <f>SUM(L2:L21)</f>
        <v>10164.38</v>
      </c>
      <c r="M23">
        <f>SUM(M2:M21)</f>
        <v>3034.48</v>
      </c>
      <c r="N23">
        <f>SUM(N2:N21)</f>
        <v>72584.76</v>
      </c>
      <c r="O23">
        <f>SUM(O2:O21)</f>
        <v>71100</v>
      </c>
      <c r="P23">
        <f>SUM(P2:P21)</f>
        <v>1484.76</v>
      </c>
    </row>
    <row r="24"/>
    <row r="25">
      <c r="A25" t="s">
        <v>98</v>
      </c>
      <c r="B25">
        <f>SUM(Expenses!J2:J41)</f>
        <v>94000</v>
      </c>
    </row>
    <row r="26">
      <c r="A26" t="s">
        <v>99</v>
      </c>
      <c r="B26">
        <f>J23+K23+L23</f>
        <v>69550.28</v>
      </c>
    </row>
    <row r="27">
      <c r="A27" t="s">
        <v>100</v>
      </c>
      <c r="B27">
        <f>B25-B26</f>
        <v>24449.72</v>
      </c>
    </row>
  </sheetData>
</worksheet>
</file>

<file path=xl/worksheets/sheet7.xml><?xml version="1.0" encoding="utf-8"?>
<worksheet xmlns="http://schemas.openxmlformats.org/spreadsheetml/2006/main">
  <sheetData>
    <row r="1">
      <c r="A1" t="s">
        <v>101</v>
      </c>
    </row>
    <row r="2">
      <c r="A2" t="s">
        <v>102</v>
      </c>
      <c r="B2">
        <v>1</v>
      </c>
    </row>
    <row r="3">
      <c r="A3" t="s">
        <v>103</v>
      </c>
      <c r="B3" t="s">
        <v>104</v>
      </c>
    </row>
    <row r="4">
      <c r="A4" t="s">
        <v>105</v>
      </c>
      <c r="B4" s="1">
        <v>46073</v>
      </c>
    </row>
    <row r="5">
      <c r="A5" t="s">
        <v>106</v>
      </c>
      <c r="B5" s="1">
        <v>46101</v>
      </c>
    </row>
    <row r="6"/>
    <row r="7">
      <c r="A7" t="str">
        <f>B3</f>
        <v>Wrenfield Commons Management</v>
      </c>
    </row>
    <row r="8">
      <c r="A8" t="str">
        <f>Building!B3</f>
        <v>Wrenfield Commons</v>
      </c>
    </row>
    <row r="9">
      <c r="A9" t="str">
        <f>TEXT(B4,"mmmm d, yyyy")</f>
        <v>February 20, 2026</v>
      </c>
    </row>
    <row r="10"/>
    <row r="11">
      <c r="A11" t="str">
        <f>"To: "&amp;INDEX(Reconciliation!A2:A21,$B$2)</f>
        <v>To: Tenant A</v>
      </c>
    </row>
    <row r="12">
      <c r="A12" t="str">
        <f>"Operating expense reconciliation, "&amp;TEXT(Building!B4,"mmmm d, yyyy")&amp;" to "&amp;TEXT(Building!B5,"mmmm d, yyyy")</f>
        <v>Operating expense reconciliation, January 1, 2025 to December 31, 2025</v>
      </c>
    </row>
    <row r="13"/>
    <row r="14">
      <c r="A14" t="str">
        <f>"Here is your share of "&amp;Building!B3&amp;"'s operating expenses for the period, figured under your lease. Your share is "&amp;TEXT(INDEX(Tenants!J2:J21,$B$2),"0.00%")&amp;", for "&amp;INDEX(Tenants!I2:I21,$B$2)&amp;" of the period's "&amp;Building!B6&amp;" days."</f>
        <v>Here is your share of Wrenfield Commons's operating expenses for the period, figured under your lease. Your share is 50.00%, for 365 of the period's 365 days.</v>
      </c>
    </row>
    <row r="15"/>
    <row r="16">
      <c r="A16" t="s">
        <v>107</v>
      </c>
      <c r="B16">
        <f>INDEX(Reconciliation!B2:B21,$B$2)</f>
        <v>19233.96</v>
      </c>
    </row>
    <row r="17">
      <c r="A17" t="s">
        <v>108</v>
      </c>
      <c r="B17">
        <f>-INDEX(Reconciliation!H2:H21,$B$2)</f>
        <v>-1383.96</v>
      </c>
    </row>
    <row r="18">
      <c r="A18" t="s">
        <v>109</v>
      </c>
      <c r="B18">
        <f>INDEX(Reconciliation!C2:C21,$B$2)</f>
        <v>2616.98</v>
      </c>
    </row>
    <row r="19">
      <c r="A19" t="s">
        <v>110</v>
      </c>
      <c r="B19">
        <f>INDEX(Reconciliation!J2:J21,$B$2)-INDEX(Reconciliation!G2:G21,$B$2)-INDEX(Reconciliation!C2:C21,$B$2)</f>
        <v>0</v>
      </c>
    </row>
    <row r="20">
      <c r="A20" t="s">
        <v>111</v>
      </c>
      <c r="B20">
        <f>INDEX(Reconciliation!K2:K21,$B$2)</f>
        <v>20000</v>
      </c>
    </row>
    <row r="21">
      <c r="A21" t="s">
        <v>51</v>
      </c>
      <c r="B21">
        <f>INDEX(Reconciliation!L2:L21,$B$2)</f>
        <v>7000</v>
      </c>
    </row>
    <row r="22">
      <c r="A22" t="s">
        <v>112</v>
      </c>
      <c r="B22">
        <f>INDEX(Reconciliation!M2:M21,$B$2)</f>
        <v>2046.7</v>
      </c>
    </row>
    <row r="23">
      <c r="A23" t="s">
        <v>113</v>
      </c>
      <c r="B23">
        <f>INDEX(Reconciliation!N2:N21,$B$2)</f>
        <v>49513.68</v>
      </c>
    </row>
    <row r="24">
      <c r="A24" t="s">
        <v>114</v>
      </c>
      <c r="B24">
        <f>-INDEX(Reconciliation!O2:O21,$B$2)</f>
        <v>-46800</v>
      </c>
    </row>
    <row r="25">
      <c r="A25" t="s">
        <v>115</v>
      </c>
      <c r="B25">
        <f>INDEX(Reconciliation!P2:P21,$B$2)</f>
        <v>2713.68</v>
      </c>
    </row>
    <row r="26"/>
    <row r="27">
      <c r="A27" t="str">
        <f>IF(B25&gt;0,"Please pay the balance of "&amp;TEXT(B25,"$#,##0.00")&amp;" by "&amp;TEXT(B5,"mmmm d, yyyy")&amp;".",IF(B25&lt;0,"Your estimates came to "&amp;TEXT(-B25,"$#,##0.00")&amp;" more than your share. We will refund or credit it as your lease provides.","Your estimates covered your share exactly; nothing more is due."))</f>
        <v>Please pay the balance of $2,713.68 by March 20, 2026.</v>
      </c>
    </row>
    <row r="28">
      <c r="A28" t="s">
        <v>116</v>
      </c>
    </row>
    <row r="29"/>
    <row r="30">
      <c r="A30" t="str">
        <f>B3</f>
        <v>Wrenfield Commons Management</v>
      </c>
    </row>
  </sheetData>
</worksheet>
</file>